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Jahresübersicht" sheetId="2" state="visible" r:id="rId2"/>
    <sheet xmlns:r="http://schemas.openxmlformats.org/officeDocument/2006/relationships" name="Budget_50_30_20" sheetId="3" state="visible" r:id="rId3"/>
    <sheet xmlns:r="http://schemas.openxmlformats.org/officeDocument/2006/relationships" name="Fixkosten" sheetId="4" state="visible" r:id="rId4"/>
    <sheet xmlns:r="http://schemas.openxmlformats.org/officeDocument/2006/relationships" name="Buchungsjournal" sheetId="5" state="visible" r:id="rId5"/>
    <sheet xmlns:r="http://schemas.openxmlformats.org/officeDocument/2006/relationships" name="Anleitung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;[Red]-#,##0.00 €;&quot;-&quot; €;@"/>
    <numFmt numFmtId="165" formatCode="0.0%;-0.0%;&quot;-&quot;;@"/>
  </numFmts>
  <fonts count="1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E2E8F0"/>
      <sz val="11"/>
    </font>
    <font>
      <name val="Calibri"/>
      <b val="1"/>
      <color rgb="00073763"/>
      <sz val="12"/>
    </font>
    <font>
      <name val="Calibri"/>
      <b val="1"/>
      <color rgb="0064748B"/>
      <sz val="9"/>
    </font>
    <font>
      <name val="Calibri"/>
      <b val="1"/>
      <color rgb="00073763"/>
      <sz val="18"/>
    </font>
    <font>
      <name val="Calibri"/>
      <i val="1"/>
      <color rgb="0064748B"/>
      <sz val="10"/>
    </font>
    <font>
      <name val="Calibri"/>
      <b val="1"/>
      <color rgb="00166534"/>
      <sz val="18"/>
    </font>
    <font>
      <name val="Calibri"/>
      <b val="1"/>
      <color rgb="001E40AF"/>
      <sz val="18"/>
    </font>
    <font>
      <name val="Calibri"/>
      <b val="1"/>
      <color rgb="00073763"/>
      <sz val="11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b val="1"/>
      <color rgb="001E293B"/>
      <sz val="11"/>
    </font>
    <font>
      <name val="Calibri"/>
      <color rgb="001A3A8C"/>
      <sz val="11"/>
    </font>
    <font>
      <name val="Calibri"/>
      <b val="1"/>
      <color rgb="00166534"/>
      <sz val="11"/>
    </font>
    <font>
      <name val="Calibri"/>
      <b val="1"/>
      <color rgb="00991B1B"/>
      <sz val="11"/>
    </font>
    <font>
      <name val="Calibri"/>
      <b val="1"/>
      <color rgb="001E40AF"/>
      <sz val="11"/>
    </font>
    <font>
      <name val="Calibri"/>
      <b val="1"/>
      <color rgb="001A3A8C"/>
      <sz val="12"/>
    </font>
    <font>
      <name val="Calibri"/>
      <b val="1"/>
      <color rgb="00991B1B"/>
      <sz val="12"/>
    </font>
  </fonts>
  <fills count="10">
    <fill>
      <patternFill/>
    </fill>
    <fill>
      <patternFill patternType="gray125"/>
    </fill>
    <fill>
      <patternFill patternType="solid">
        <fgColor rgb="00073763"/>
        <bgColor rgb="00073763"/>
      </patternFill>
    </fill>
    <fill>
      <patternFill patternType="solid">
        <fgColor rgb="001A3A8C"/>
        <bgColor rgb="001A3A8C"/>
      </patternFill>
    </fill>
    <fill>
      <patternFill patternType="solid">
        <fgColor rgb="00E2E8F0"/>
        <bgColor rgb="00E2E8F0"/>
      </patternFill>
    </fill>
    <fill>
      <patternFill patternType="solid">
        <fgColor rgb="00DCFCE7"/>
        <bgColor rgb="00DCFCE7"/>
      </patternFill>
    </fill>
    <fill>
      <patternFill patternType="solid">
        <fgColor rgb="00DBEAFE"/>
        <bgColor rgb="00DBEAFE"/>
      </patternFill>
    </fill>
    <fill>
      <patternFill patternType="solid">
        <fgColor rgb="00F0F4FF"/>
        <bgColor rgb="00F0F4FF"/>
      </patternFill>
    </fill>
    <fill>
      <patternFill patternType="solid">
        <fgColor rgb="00FEE2E2"/>
        <bgColor rgb="00FEE2E2"/>
      </patternFill>
    </fill>
    <fill>
      <patternFill patternType="solid">
        <fgColor rgb="00F8FAFC"/>
        <bgColor rgb="00F8FAFC"/>
      </patternFill>
    </fill>
  </fills>
  <borders count="27">
    <border>
      <left/>
      <right/>
      <top/>
      <bottom/>
      <diagonal/>
    </border>
    <border>
      <left style="thin">
        <color rgb="00CBD5E1"/>
      </left>
      <right/>
      <top style="thin">
        <color rgb="00CBD5E1"/>
      </top>
      <bottom/>
    </border>
    <border>
      <left/>
      <right style="thin">
        <color rgb="00CBD5E1"/>
      </right>
      <top style="thin">
        <color rgb="00CBD5E1"/>
      </top>
      <bottom/>
    </border>
    <border>
      <left style="thin">
        <color rgb="00CBD5E1"/>
      </left>
      <right/>
      <top/>
      <bottom/>
    </border>
    <border>
      <left/>
      <right style="thin">
        <color rgb="00CBD5E1"/>
      </right>
      <top/>
      <bottom/>
    </border>
    <border>
      <left style="thin">
        <color rgb="00CBD5E1"/>
      </left>
      <right/>
      <top/>
      <bottom style="thin">
        <color rgb="00CBD5E1"/>
      </bottom>
    </border>
    <border>
      <left/>
      <right style="thin">
        <color rgb="00CBD5E1"/>
      </right>
      <top/>
      <bottom style="thin">
        <color rgb="00CBD5E1"/>
      </bottom>
    </border>
    <border>
      <left/>
      <right/>
      <top style="thin">
        <color rgb="00CBD5E1"/>
      </top>
      <bottom/>
    </border>
    <border>
      <left/>
      <right/>
      <top/>
      <bottom/>
    </border>
    <border>
      <left/>
      <right/>
      <top/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73763"/>
      </top>
      <bottom style="medium">
        <color rgb="00073763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73763"/>
      </bottom>
    </border>
    <border>
      <left style="thin">
        <color rgb="00CBD5E1"/>
      </left>
      <right style="thin">
        <color rgb="00CBD5E1"/>
      </right>
      <top/>
      <bottom/>
    </border>
    <border>
      <left/>
      <right style="thin">
        <color rgb="00CBD5E1"/>
      </right>
      <top/>
      <bottom/>
      <diagonal/>
    </border>
    <border>
      <left style="thin">
        <color rgb="00CBD5E1"/>
      </left>
      <right style="thin">
        <color rgb="00CBD5E1"/>
      </right>
      <top/>
      <bottom style="thin">
        <color rgb="00CBD5E1"/>
      </bottom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thin">
        <color rgb="00CBD5E1"/>
      </top>
      <bottom/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/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medium">
        <color rgb="00073763"/>
      </top>
      <bottom/>
      <diagonal/>
    </border>
    <border>
      <left/>
      <right style="thin">
        <color rgb="00CBD5E1"/>
      </right>
      <top style="medium">
        <color rgb="00073763"/>
      </top>
      <bottom/>
      <diagonal/>
    </border>
    <border>
      <left/>
      <right/>
      <top style="medium">
        <color rgb="00073763"/>
      </top>
      <bottom style="medium">
        <color rgb="00073763"/>
      </bottom>
      <diagonal/>
    </border>
    <border>
      <left/>
      <right style="thin">
        <color rgb="00CBD5E1"/>
      </right>
      <top style="medium">
        <color rgb="00073763"/>
      </top>
      <bottom style="medium">
        <color rgb="00073763"/>
      </bottom>
      <diagonal/>
    </border>
  </borders>
  <cellStyleXfs count="1">
    <xf numFmtId="0" fontId="0" fillId="0" borderId="0"/>
  </cellStyleXfs>
  <cellXfs count="8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4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7" pivotButton="0" quotePrefix="0" xfId="0"/>
    <xf numFmtId="164" fontId="5" fillId="0" borderId="3" applyAlignment="1" pivotButton="0" quotePrefix="0" xfId="0">
      <alignment horizontal="center" vertical="center"/>
    </xf>
    <xf numFmtId="0" fontId="0" fillId="0" borderId="4" pivotButton="0" quotePrefix="0" xfId="0"/>
    <xf numFmtId="164" fontId="7" fillId="5" borderId="3" applyAlignment="1" pivotButton="0" quotePrefix="0" xfId="0">
      <alignment horizontal="center" vertical="center"/>
    </xf>
    <xf numFmtId="165" fontId="8" fillId="6" borderId="3" applyAlignment="1" pivotButton="0" quotePrefix="0" xfId="0">
      <alignment horizontal="center" vertical="center"/>
    </xf>
    <xf numFmtId="49" fontId="9" fillId="4" borderId="3" applyAlignment="1" pivotButton="0" quotePrefix="0" xfId="0">
      <alignment horizontal="center" vertical="center"/>
    </xf>
    <xf numFmtId="0" fontId="0" fillId="0" borderId="8" pivotButton="0" quotePrefix="0" xfId="0"/>
    <xf numFmtId="0" fontId="6" fillId="0" borderId="5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9" pivotButton="0" quotePrefix="0" xfId="0"/>
    <xf numFmtId="0" fontId="10" fillId="2" borderId="10" applyAlignment="1" pivotButton="0" quotePrefix="0" xfId="0">
      <alignment horizontal="center" vertical="center"/>
    </xf>
    <xf numFmtId="0" fontId="11" fillId="0" borderId="11" applyAlignment="1" pivotButton="0" quotePrefix="0" xfId="0">
      <alignment horizontal="left" vertical="center"/>
    </xf>
    <xf numFmtId="164" fontId="11" fillId="0" borderId="11" applyAlignment="1" pivotButton="0" quotePrefix="0" xfId="0">
      <alignment horizontal="right" vertical="center"/>
    </xf>
    <xf numFmtId="164" fontId="12" fillId="0" borderId="11" applyAlignment="1" pivotButton="0" quotePrefix="0" xfId="0">
      <alignment horizontal="right" vertical="center"/>
    </xf>
    <xf numFmtId="165" fontId="11" fillId="0" borderId="11" applyAlignment="1" pivotButton="0" quotePrefix="0" xfId="0">
      <alignment horizontal="right" vertical="center"/>
    </xf>
    <xf numFmtId="0" fontId="11" fillId="0" borderId="11" applyAlignment="1" pivotButton="0" quotePrefix="0" xfId="0">
      <alignment horizontal="center" vertical="center"/>
    </xf>
    <xf numFmtId="0" fontId="12" fillId="4" borderId="12" applyAlignment="1" pivotButton="0" quotePrefix="0" xfId="0">
      <alignment horizontal="left" vertical="center"/>
    </xf>
    <xf numFmtId="165" fontId="12" fillId="4" borderId="12" applyAlignment="1" pivotButton="0" quotePrefix="0" xfId="0">
      <alignment horizontal="right" vertical="center"/>
    </xf>
    <xf numFmtId="0" fontId="12" fillId="4" borderId="12" applyAlignment="1" pivotButton="0" quotePrefix="0" xfId="0">
      <alignment horizontal="center" vertical="center"/>
    </xf>
    <xf numFmtId="164" fontId="13" fillId="7" borderId="11" applyAlignment="1" pivotButton="0" quotePrefix="0" xfId="0">
      <alignment horizontal="right" vertical="center"/>
    </xf>
    <xf numFmtId="0" fontId="6" fillId="0" borderId="11" applyAlignment="1" pivotButton="0" quotePrefix="0" xfId="0">
      <alignment horizontal="center" vertical="center"/>
    </xf>
    <xf numFmtId="0" fontId="6" fillId="0" borderId="11" applyAlignment="1" pivotButton="0" quotePrefix="0" xfId="0">
      <alignment horizontal="left" vertical="center"/>
    </xf>
    <xf numFmtId="164" fontId="14" fillId="5" borderId="12" applyAlignment="1" pivotButton="0" quotePrefix="0" xfId="0">
      <alignment horizontal="right" vertical="center"/>
    </xf>
    <xf numFmtId="0" fontId="6" fillId="4" borderId="12" applyAlignment="1" pivotButton="0" quotePrefix="0" xfId="0">
      <alignment horizontal="center" vertical="center"/>
    </xf>
    <xf numFmtId="164" fontId="12" fillId="4" borderId="12" applyAlignment="1" pivotButton="0" quotePrefix="0" xfId="0">
      <alignment horizontal="right" vertical="center"/>
    </xf>
    <xf numFmtId="49" fontId="12" fillId="4" borderId="12" applyAlignment="1" pivotButton="0" quotePrefix="0" xfId="0">
      <alignment horizontal="center" vertical="center"/>
    </xf>
    <xf numFmtId="0" fontId="4" fillId="4" borderId="17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18" pivotButton="0" quotePrefix="0" xfId="0"/>
    <xf numFmtId="164" fontId="5" fillId="0" borderId="13" applyAlignment="1" pivotButton="0" quotePrefix="0" xfId="0">
      <alignment horizontal="center" vertical="center"/>
    </xf>
    <xf numFmtId="0" fontId="0" fillId="0" borderId="14" pivotButton="0" quotePrefix="0" xfId="0"/>
    <xf numFmtId="164" fontId="7" fillId="5" borderId="13" applyAlignment="1" pivotButton="0" quotePrefix="0" xfId="0">
      <alignment horizontal="center" vertical="center"/>
    </xf>
    <xf numFmtId="165" fontId="8" fillId="6" borderId="13" applyAlignment="1" pivotButton="0" quotePrefix="0" xfId="0">
      <alignment horizontal="center" vertical="center"/>
    </xf>
    <xf numFmtId="49" fontId="9" fillId="4" borderId="13" applyAlignment="1" pivotButton="0" quotePrefix="0" xfId="0">
      <alignment horizontal="center" vertical="center"/>
    </xf>
    <xf numFmtId="0" fontId="6" fillId="0" borderId="15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20" pivotButton="0" quotePrefix="0" xfId="0"/>
    <xf numFmtId="0" fontId="10" fillId="2" borderId="10" applyAlignment="1" pivotButton="0" quotePrefix="0" xfId="0">
      <alignment horizontal="left" vertical="center"/>
    </xf>
    <xf numFmtId="0" fontId="3" fillId="0" borderId="11" pivotButton="0" quotePrefix="0" xfId="0"/>
    <xf numFmtId="0" fontId="11" fillId="0" borderId="11" pivotButton="0" quotePrefix="0" xfId="0"/>
    <xf numFmtId="0" fontId="0" fillId="0" borderId="11" pivotButton="0" quotePrefix="0" xfId="0"/>
    <xf numFmtId="0" fontId="12" fillId="4" borderId="12" pivotButton="0" quotePrefix="0" xfId="0"/>
    <xf numFmtId="0" fontId="15" fillId="8" borderId="12" pivotButton="0" quotePrefix="0" xfId="0"/>
    <xf numFmtId="164" fontId="15" fillId="8" borderId="12" applyAlignment="1" pivotButton="0" quotePrefix="0" xfId="0">
      <alignment horizontal="right" vertical="center"/>
    </xf>
    <xf numFmtId="0" fontId="14" fillId="5" borderId="12" pivotButton="0" quotePrefix="0" xfId="0"/>
    <xf numFmtId="0" fontId="16" fillId="6" borderId="12" pivotButton="0" quotePrefix="0" xfId="0"/>
    <xf numFmtId="165" fontId="16" fillId="6" borderId="12" applyAlignment="1" pivotButton="0" quotePrefix="0" xfId="0">
      <alignment horizontal="right" vertical="center"/>
    </xf>
    <xf numFmtId="0" fontId="12" fillId="0" borderId="11" applyAlignment="1" pivotButton="0" quotePrefix="0" xfId="0">
      <alignment horizontal="left" vertical="center"/>
    </xf>
    <xf numFmtId="164" fontId="17" fillId="7" borderId="1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horizontal="right" vertical="center"/>
    </xf>
    <xf numFmtId="164" fontId="12" fillId="4" borderId="11" applyAlignment="1" pivotButton="0" quotePrefix="0" xfId="0">
      <alignment horizontal="right" vertical="center"/>
    </xf>
    <xf numFmtId="0" fontId="3" fillId="9" borderId="11" pivotButton="0" quotePrefix="0" xfId="0"/>
    <xf numFmtId="165" fontId="12" fillId="9" borderId="11" applyAlignment="1" pivotButton="0" quotePrefix="0" xfId="0">
      <alignment horizontal="right" vertical="center"/>
    </xf>
    <xf numFmtId="164" fontId="12" fillId="9" borderId="11" applyAlignment="1" pivotButton="0" quotePrefix="0" xfId="0">
      <alignment horizontal="right" vertical="center"/>
    </xf>
    <xf numFmtId="0" fontId="11" fillId="9" borderId="11" pivotButton="0" quotePrefix="0" xfId="0"/>
    <xf numFmtId="164" fontId="11" fillId="9" borderId="11" applyAlignment="1" pivotButton="0" quotePrefix="0" xfId="0">
      <alignment horizontal="right" vertical="center"/>
    </xf>
    <xf numFmtId="165" fontId="11" fillId="9" borderId="11" applyAlignment="1" pivotButton="0" quotePrefix="0" xfId="0">
      <alignment horizontal="right" vertical="center"/>
    </xf>
    <xf numFmtId="0" fontId="12" fillId="9" borderId="11" applyAlignment="1" pivotButton="0" quotePrefix="0" xfId="0">
      <alignment horizontal="center" vertical="center"/>
    </xf>
    <xf numFmtId="0" fontId="6" fillId="0" borderId="11" pivotButton="0" quotePrefix="0" xfId="0"/>
    <xf numFmtId="164" fontId="6" fillId="0" borderId="11" applyAlignment="1" pivotButton="0" quotePrefix="0" xfId="0">
      <alignment horizontal="right" vertical="center"/>
    </xf>
    <xf numFmtId="0" fontId="12" fillId="0" borderId="11" applyAlignment="1" pivotButton="0" quotePrefix="0" xfId="0">
      <alignment horizontal="right" vertical="center"/>
    </xf>
    <xf numFmtId="0" fontId="12" fillId="0" borderId="11" pivotButton="0" quotePrefix="0" xfId="0"/>
    <xf numFmtId="165" fontId="14" fillId="5" borderId="11" applyAlignment="1" pivotButton="0" quotePrefix="0" xfId="0">
      <alignment horizontal="right" vertical="center"/>
    </xf>
    <xf numFmtId="165" fontId="12" fillId="0" borderId="11" applyAlignment="1" pivotButton="0" quotePrefix="0" xfId="0">
      <alignment horizontal="right" vertical="center"/>
    </xf>
    <xf numFmtId="0" fontId="0" fillId="0" borderId="21" pivotButton="0" quotePrefix="0" xfId="0"/>
    <xf numFmtId="0" fontId="0" fillId="0" borderId="22" pivotButton="0" quotePrefix="0" xfId="0"/>
    <xf numFmtId="164" fontId="18" fillId="4" borderId="12" applyAlignment="1" pivotButton="0" quotePrefix="0" xfId="0">
      <alignment horizontal="right" vertical="center"/>
    </xf>
    <xf numFmtId="0" fontId="10" fillId="2" borderId="10" applyAlignment="1" pivotButton="0" quotePrefix="0" xfId="0">
      <alignment horizontal="right" vertical="center"/>
    </xf>
    <xf numFmtId="0" fontId="14" fillId="5" borderId="11" applyAlignment="1" pivotButton="0" quotePrefix="0" xfId="0">
      <alignment horizontal="center" vertical="center"/>
    </xf>
    <xf numFmtId="0" fontId="15" fillId="8" borderId="11" applyAlignment="1" pivotButton="0" quotePrefix="0" xfId="0">
      <alignment horizontal="center" vertical="center"/>
    </xf>
    <xf numFmtId="0" fontId="10" fillId="2" borderId="10" pivotButton="0" quotePrefix="0" xfId="0"/>
    <xf numFmtId="0" fontId="11" fillId="0" borderId="11" applyAlignment="1" pivotButton="0" quotePrefix="0" xfId="0">
      <alignment horizontal="left" vertical="center" wrapText="1"/>
    </xf>
    <xf numFmtId="0" fontId="0" fillId="0" borderId="25" pivotButton="0" quotePrefix="0" xfId="0"/>
    <xf numFmtId="0" fontId="0" fillId="0" borderId="2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73763"/>
    <outlinePr summaryBelow="1" summaryRight="1"/>
    <pageSetUpPr/>
  </sheetPr>
  <dimension ref="A1:K23"/>
  <sheetViews>
    <sheetView showGridLines="1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5" customWidth="1" min="4" max="4"/>
    <col width="16" customWidth="1" min="5" max="5"/>
    <col width="14" customWidth="1" min="6" max="6"/>
    <col width="4" customWidth="1" min="7" max="7"/>
    <col width="38" customWidth="1" min="8" max="8"/>
    <col width="16" customWidth="1" min="9" max="9"/>
    <col width="16" customWidth="1" min="10" max="10"/>
    <col width="32" customWidth="1" min="11" max="11"/>
  </cols>
  <sheetData>
    <row r="1" ht="40" customHeight="1">
      <c r="A1" s="1" t="inlineStr">
        <is>
          <t>Haushaltsbuch Dashboard 2026 – Finanz- &amp; Budgetübersicht</t>
        </is>
      </c>
    </row>
    <row r="2" ht="24" customHeight="1">
      <c r="A2" s="2" t="inlineStr">
        <is>
          <t>Automatisierte Auswertung auf Basis von Buchungsjournal, Fixkosten und 50-30-20 Budgetregel | Alle Beträge in EUR (€)</t>
        </is>
      </c>
    </row>
    <row r="3" ht="12" customHeight="1"/>
    <row r="4" ht="24" customHeight="1">
      <c r="A4" s="3" t="inlineStr">
        <is>
          <t>KENNZAHLEN &amp; SPARQUOTE (IST GESAMTJAHR 2026)</t>
        </is>
      </c>
    </row>
    <row r="5" ht="20" customHeight="1">
      <c r="A5" s="32" t="inlineStr">
        <is>
          <t>GESAMTEINNAHMEN</t>
        </is>
      </c>
      <c r="B5" s="33" t="n"/>
      <c r="C5" s="32" t="inlineStr">
        <is>
          <t>GESAMTAUSGABEN</t>
        </is>
      </c>
      <c r="D5" s="33" t="n"/>
      <c r="E5" s="32" t="inlineStr">
        <is>
          <t>FREIES BUDGET (SALDO)</t>
        </is>
      </c>
      <c r="F5" s="33" t="n"/>
      <c r="G5" s="32" t="inlineStr">
        <is>
          <t>SPARQUOTE (DEST.-BENCHMARK)</t>
        </is>
      </c>
      <c r="H5" s="33" t="n"/>
      <c r="I5" s="32" t="inlineStr">
        <is>
          <t>BUDGET-STATUS (50-30-20)</t>
        </is>
      </c>
      <c r="J5" s="34" t="n"/>
      <c r="K5" s="33" t="n"/>
    </row>
    <row r="6" ht="36" customHeight="1">
      <c r="A6" s="35">
        <f>Jahresübersicht!O11</f>
        <v>35100</v>
      </c>
      <c r="B6" s="36" t="n"/>
      <c r="C6" s="35">
        <f>Jahresübersicht!O22</f>
        <v>33591.96</v>
      </c>
      <c r="D6" s="36" t="n"/>
      <c r="E6" s="37">
        <f>Jahresübersicht!O24</f>
        <v>1508.04</v>
      </c>
      <c r="F6" s="36" t="n"/>
      <c r="G6" s="38">
        <f>Jahresübersicht!O25</f>
        <v>0.0429641025641026</v>
      </c>
      <c r="H6" s="36" t="n"/>
      <c r="I6" s="39" t="str">
        <f>"Bedarf "&amp;TEXT(Budget_50_30_20!H8,"0.0%")&amp;" | Wünsche "&amp;TEXT(Budget_50_30_20!H12,"0.0%")&amp;" | Sparen "&amp;TEXT(Budget_50_30_20!H16,"0.0%")</f>
        <v>Bedarf 61% | Wünsche 12% | Sparen 20%</v>
      </c>
      <c r="K6" s="36" t="n"/>
    </row>
    <row r="7" ht="20" customHeight="1">
      <c r="A7" s="40" t="inlineStr">
        <is>
          <t>Summe aller Nettoeinkommen</t>
        </is>
      </c>
      <c r="B7" s="41" t="n"/>
      <c r="C7" s="40" t="inlineStr">
        <is>
          <t>Fixkosten + variable Ausgaben</t>
        </is>
      </c>
      <c r="D7" s="41" t="n"/>
      <c r="E7" s="40" t="inlineStr">
        <is>
          <t>Einnahmen abzgl. Gesamtausgaben</t>
        </is>
      </c>
      <c r="F7" s="41" t="n"/>
      <c r="G7" s="40" t="inlineStr">
        <is>
          <t>Destatis-Schnitt: 10-11% | Ziel: ≥15-20%</t>
        </is>
      </c>
      <c r="H7" s="41" t="n"/>
      <c r="I7" s="40" t="inlineStr">
        <is>
          <t>Verteilung der Ausgaben am Nettoeinkommen</t>
        </is>
      </c>
      <c r="J7" s="42" t="n"/>
      <c r="K7" s="41" t="n"/>
    </row>
    <row r="8" ht="14" customHeight="1"/>
    <row r="9" ht="24" customHeight="1">
      <c r="A9" s="3" t="inlineStr">
        <is>
          <t>MONATSVERLAUF 2026 (EINNAHMEN, AUSGABEN, SALDO &amp; SPARQUOTE)</t>
        </is>
      </c>
      <c r="H9" s="3" t="inlineStr">
        <is>
          <t>50-30-20 REGEL: BUDGET VS. IST</t>
        </is>
      </c>
    </row>
    <row r="10" ht="24" customHeight="1">
      <c r="A10" s="16" t="inlineStr">
        <is>
          <t>Monat</t>
        </is>
      </c>
      <c r="B10" s="16" t="inlineStr">
        <is>
          <t>Einnahmen</t>
        </is>
      </c>
      <c r="C10" s="16" t="inlineStr">
        <is>
          <t>Fixkosten</t>
        </is>
      </c>
      <c r="D10" s="16" t="inlineStr">
        <is>
          <t>Variable K.</t>
        </is>
      </c>
      <c r="E10" s="16" t="inlineStr">
        <is>
          <t>Saldo</t>
        </is>
      </c>
      <c r="F10" s="16" t="inlineStr">
        <is>
          <t>Sparquote</t>
        </is>
      </c>
      <c r="H10" s="16" t="inlineStr">
        <is>
          <t>Kategorie</t>
        </is>
      </c>
      <c r="I10" s="16" t="inlineStr">
        <is>
          <t>Soll %</t>
        </is>
      </c>
      <c r="J10" s="16" t="inlineStr">
        <is>
          <t>Ist %</t>
        </is>
      </c>
      <c r="K10" s="16" t="inlineStr">
        <is>
          <t>Status &amp; Bewertung</t>
        </is>
      </c>
    </row>
    <row r="11" ht="20" customHeight="1">
      <c r="A11" s="17" t="inlineStr">
        <is>
          <t>Januar</t>
        </is>
      </c>
      <c r="B11" s="18">
        <f>Jahresübersicht!C11</f>
        <v>2800</v>
      </c>
      <c r="C11" s="18">
        <f>Jahresübersicht!C16</f>
        <v>1982.43</v>
      </c>
      <c r="D11" s="18">
        <f>Jahresübersicht!C21</f>
        <v>779.4</v>
      </c>
      <c r="E11" s="19">
        <f>Jahresübersicht!C24</f>
        <v>38.1700000000001</v>
      </c>
      <c r="F11" s="20">
        <f>Jahresübersicht!C25</f>
        <v>0.0136321428571429</v>
      </c>
      <c r="H11" s="17" t="inlineStr">
        <is>
          <t>Grundbedarf (Wohnen, Strom, Lebensmittel)</t>
        </is>
      </c>
      <c r="I11" s="20" t="n">
        <v>0.5</v>
      </c>
      <c r="J11" s="20">
        <f>Budget_50_30_20!H8</f>
        <v>0.611436666666667</v>
      </c>
      <c r="K11" s="21" t="str">
        <f>IF(J11&lt;=0.5,"Im Rahmen (≤ 50%)","Budget überschritten (&gt; 50%)")</f>
        <v>Budget überschritten (&gt; 50%)</v>
      </c>
    </row>
    <row r="12" ht="20" customHeight="1">
      <c r="A12" s="17" t="inlineStr">
        <is>
          <t>Februar</t>
        </is>
      </c>
      <c r="B12" s="18">
        <f>Jahresübersicht!D11</f>
        <v>2800</v>
      </c>
      <c r="C12" s="18">
        <f>Jahresübersicht!D16</f>
        <v>1982.43</v>
      </c>
      <c r="D12" s="18">
        <f>Jahresübersicht!D21</f>
        <v>779.4</v>
      </c>
      <c r="E12" s="19">
        <f>Jahresübersicht!D24</f>
        <v>38.1700000000001</v>
      </c>
      <c r="F12" s="20">
        <f>Jahresübersicht!D25</f>
        <v>0.0136321428571429</v>
      </c>
      <c r="H12" s="17" t="inlineStr">
        <is>
          <t>Wünsche (Freizeit, Hobbys, Urlaub, Restaurant)</t>
        </is>
      </c>
      <c r="I12" s="20" t="n">
        <v>0.3</v>
      </c>
      <c r="J12" s="20">
        <f>Budget_50_30_20!H12</f>
        <v>0.121673333333333</v>
      </c>
      <c r="K12" s="21" t="str">
        <f>IF(J12&lt;=0.3,"Im Rahmen (≤ 30%)","Budget überschritten (&gt; 30%)")</f>
        <v>Im Rahmen (≤ 30%)</v>
      </c>
    </row>
    <row r="13" ht="20" customHeight="1">
      <c r="A13" s="17" t="inlineStr">
        <is>
          <t>März</t>
        </is>
      </c>
      <c r="B13" s="18">
        <f>Jahresübersicht!E11</f>
        <v>3150</v>
      </c>
      <c r="C13" s="18">
        <f>Jahresübersicht!E16</f>
        <v>1982.43</v>
      </c>
      <c r="D13" s="18">
        <f>Jahresübersicht!E21</f>
        <v>779.4</v>
      </c>
      <c r="E13" s="19">
        <f>Jahresübersicht!E24</f>
        <v>388.17</v>
      </c>
      <c r="F13" s="20">
        <f>Jahresübersicht!E25</f>
        <v>0.123228571428571</v>
      </c>
      <c r="H13" s="17" t="inlineStr">
        <is>
          <t>Sparen &amp; Tilgen (Notgroschen, ETFs, Kredite)</t>
        </is>
      </c>
      <c r="I13" s="20" t="n">
        <v>0.2</v>
      </c>
      <c r="J13" s="20">
        <f>Budget_50_30_20!H16</f>
        <v>0.2</v>
      </c>
      <c r="K13" s="21" t="str">
        <f>IF(J13&gt;=0.2,"Ziel erreicht (≥ 20%)","Sparziel verfehlt (&lt; 20%)")</f>
        <v>Ziel erreicht (≥ 20%)</v>
      </c>
    </row>
    <row r="14" ht="20" customHeight="1">
      <c r="A14" s="17" t="inlineStr">
        <is>
          <t>April</t>
        </is>
      </c>
      <c r="B14" s="18">
        <f>Jahresübersicht!F11</f>
        <v>2800</v>
      </c>
      <c r="C14" s="18">
        <f>Jahresübersicht!F16</f>
        <v>1982.43</v>
      </c>
      <c r="D14" s="18">
        <f>Jahresübersicht!F21</f>
        <v>779.4</v>
      </c>
      <c r="E14" s="19">
        <f>Jahresübersicht!F24</f>
        <v>38.1700000000001</v>
      </c>
      <c r="F14" s="20">
        <f>Jahresübersicht!F25</f>
        <v>0.0136321428571429</v>
      </c>
      <c r="H14" s="22" t="inlineStr">
        <is>
          <t>Gesamtsumme / Verteilung</t>
        </is>
      </c>
      <c r="I14" s="23" t="n">
        <v>1</v>
      </c>
      <c r="J14" s="23">
        <f>SUM(J11:J13)</f>
        <v>0.93311</v>
      </c>
      <c r="K14" s="24" t="str">
        <f>IF(ROUND(J14,2)=1,"Vollständig verteilt","Prüfen")</f>
        <v>Prüfen</v>
      </c>
    </row>
    <row r="15" ht="20" customHeight="1">
      <c r="A15" s="17" t="inlineStr">
        <is>
          <t>Mai</t>
        </is>
      </c>
      <c r="B15" s="18">
        <f>Jahresübersicht!G11</f>
        <v>2800</v>
      </c>
      <c r="C15" s="18">
        <f>Jahresübersicht!G16</f>
        <v>1982.43</v>
      </c>
      <c r="D15" s="18">
        <f>Jahresübersicht!G21</f>
        <v>779.4</v>
      </c>
      <c r="E15" s="19">
        <f>Jahresübersicht!G24</f>
        <v>38.1700000000001</v>
      </c>
      <c r="F15" s="20">
        <f>Jahresübersicht!G25</f>
        <v>0.0136321428571429</v>
      </c>
    </row>
    <row r="16" ht="24" customHeight="1">
      <c r="A16" s="17" t="inlineStr">
        <is>
          <t>Juni</t>
        </is>
      </c>
      <c r="B16" s="18">
        <f>Jahresübersicht!H11</f>
        <v>3200</v>
      </c>
      <c r="C16" s="18">
        <f>Jahresübersicht!H16</f>
        <v>1982.43</v>
      </c>
      <c r="D16" s="18">
        <f>Jahresübersicht!H21</f>
        <v>779.4</v>
      </c>
      <c r="E16" s="19">
        <f>Jahresübersicht!H24</f>
        <v>438.17</v>
      </c>
      <c r="F16" s="20">
        <f>Jahresübersicht!H25</f>
        <v>0.136928125</v>
      </c>
      <c r="H16" s="3" t="inlineStr">
        <is>
          <t>INTERAKTIVER BUDGET-RECHNER (SCHNELL-CHECK AUS DEM RATGEBER)</t>
        </is>
      </c>
    </row>
    <row r="17" ht="22" customHeight="1">
      <c r="A17" s="17" t="inlineStr">
        <is>
          <t>Juli</t>
        </is>
      </c>
      <c r="B17" s="18">
        <f>Jahresübersicht!I11</f>
        <v>2800</v>
      </c>
      <c r="C17" s="18">
        <f>Jahresübersicht!I16</f>
        <v>1982.43</v>
      </c>
      <c r="D17" s="18">
        <f>Jahresübersicht!I21</f>
        <v>1229.4</v>
      </c>
      <c r="E17" s="19">
        <f>Jahresübersicht!I24</f>
        <v>-411.83</v>
      </c>
      <c r="F17" s="20">
        <f>Jahresübersicht!I25</f>
        <v>-0.147082142857143</v>
      </c>
      <c r="H17" s="16" t="inlineStr">
        <is>
          <t>Parameter / Kennzahl</t>
        </is>
      </c>
      <c r="I17" s="16" t="inlineStr">
        <is>
          <t>Wert / Betrag</t>
        </is>
      </c>
      <c r="J17" s="16" t="inlineStr">
        <is>
          <t>Format</t>
        </is>
      </c>
      <c r="K17" s="16" t="inlineStr">
        <is>
          <t>Erläuterung &amp; Formel</t>
        </is>
      </c>
    </row>
    <row r="18" ht="20" customHeight="1">
      <c r="A18" s="17" t="inlineStr">
        <is>
          <t>August</t>
        </is>
      </c>
      <c r="B18" s="18">
        <f>Jahresübersicht!J11</f>
        <v>2800</v>
      </c>
      <c r="C18" s="18">
        <f>Jahresübersicht!J16</f>
        <v>1982.43</v>
      </c>
      <c r="D18" s="18">
        <f>Jahresübersicht!J21</f>
        <v>779.4</v>
      </c>
      <c r="E18" s="19">
        <f>Jahresübersicht!J24</f>
        <v>38.1700000000001</v>
      </c>
      <c r="F18" s="20">
        <f>Jahresübersicht!J25</f>
        <v>0.0136321428571429</v>
      </c>
      <c r="H18" s="17" t="inlineStr">
        <is>
          <t>Monatliches Nettoeinkommen (€)</t>
        </is>
      </c>
      <c r="I18" s="25" t="n">
        <v>2800</v>
      </c>
      <c r="J18" s="26" t="inlineStr">
        <is>
          <t>Eingabefeld</t>
        </is>
      </c>
      <c r="K18" s="27" t="inlineStr">
        <is>
          <t>Eingabe (Nettoverdienst)</t>
        </is>
      </c>
    </row>
    <row r="19" ht="20" customHeight="1">
      <c r="A19" s="17" t="inlineStr">
        <is>
          <t>September</t>
        </is>
      </c>
      <c r="B19" s="18">
        <f>Jahresübersicht!K11</f>
        <v>3150</v>
      </c>
      <c r="C19" s="18">
        <f>Jahresübersicht!K16</f>
        <v>1982.43</v>
      </c>
      <c r="D19" s="18">
        <f>Jahresübersicht!K21</f>
        <v>779.4</v>
      </c>
      <c r="E19" s="19">
        <f>Jahresübersicht!K24</f>
        <v>388.17</v>
      </c>
      <c r="F19" s="20">
        <f>Jahresübersicht!K25</f>
        <v>0.123228571428571</v>
      </c>
      <c r="H19" s="17" t="inlineStr">
        <is>
          <t>Fixkosten (Miete, Strom, Verträge) (€)</t>
        </is>
      </c>
      <c r="I19" s="25" t="n">
        <v>1300</v>
      </c>
      <c r="J19" s="26" t="inlineStr">
        <is>
          <t>Eingabefeld</t>
        </is>
      </c>
      <c r="K19" s="27" t="inlineStr">
        <is>
          <t>Eingabe (feste Ausgaben)</t>
        </is>
      </c>
    </row>
    <row r="20" ht="20" customHeight="1">
      <c r="A20" s="17" t="inlineStr">
        <is>
          <t>Oktober</t>
        </is>
      </c>
      <c r="B20" s="18">
        <f>Jahresübersicht!L11</f>
        <v>2800</v>
      </c>
      <c r="C20" s="18">
        <f>Jahresübersicht!L16</f>
        <v>1982.43</v>
      </c>
      <c r="D20" s="18">
        <f>Jahresübersicht!L21</f>
        <v>779.4</v>
      </c>
      <c r="E20" s="19">
        <f>Jahresübersicht!L24</f>
        <v>38.1700000000001</v>
      </c>
      <c r="F20" s="20">
        <f>Jahresübersicht!L25</f>
        <v>0.0136321428571429</v>
      </c>
      <c r="H20" s="17" t="inlineStr">
        <is>
          <t>Variable Kosten (Lebensmittel, Freizeit) (€)</t>
        </is>
      </c>
      <c r="I20" s="25" t="n">
        <v>800</v>
      </c>
      <c r="J20" s="26" t="inlineStr">
        <is>
          <t>Eingabefeld</t>
        </is>
      </c>
      <c r="K20" s="27" t="inlineStr">
        <is>
          <t>Eingabe (flexible Ausgaben)</t>
        </is>
      </c>
    </row>
    <row r="21" ht="20" customHeight="1">
      <c r="A21" s="17" t="inlineStr">
        <is>
          <t>November</t>
        </is>
      </c>
      <c r="B21" s="18">
        <f>Jahresübersicht!M11</f>
        <v>2800</v>
      </c>
      <c r="C21" s="18">
        <f>Jahresübersicht!M16</f>
        <v>1982.43</v>
      </c>
      <c r="D21" s="18">
        <f>Jahresübersicht!M21</f>
        <v>779.4</v>
      </c>
      <c r="E21" s="19">
        <f>Jahresübersicht!M24</f>
        <v>38.1700000000001</v>
      </c>
      <c r="F21" s="20">
        <f>Jahresübersicht!M25</f>
        <v>0.0136321428571429</v>
      </c>
      <c r="H21" s="22" t="inlineStr">
        <is>
          <t>Dein freies Budget / Sparpotenzial (€)</t>
        </is>
      </c>
      <c r="I21" s="28">
        <f>I18-I19-I20</f>
        <v>700</v>
      </c>
      <c r="J21" s="29" t="inlineStr">
        <is>
          <t>Formel</t>
        </is>
      </c>
      <c r="K21" s="22" t="inlineStr">
        <is>
          <t>Ergebnis = Netto - Fix - Variabel</t>
        </is>
      </c>
    </row>
    <row r="22" ht="20" customHeight="1">
      <c r="A22" s="17" t="inlineStr">
        <is>
          <t>Dezember</t>
        </is>
      </c>
      <c r="B22" s="18">
        <f>Jahresübersicht!N11</f>
        <v>3200</v>
      </c>
      <c r="C22" s="18">
        <f>Jahresübersicht!N16</f>
        <v>1982.43</v>
      </c>
      <c r="D22" s="18">
        <f>Jahresübersicht!N21</f>
        <v>779.4</v>
      </c>
      <c r="E22" s="19">
        <f>Jahresübersicht!N24</f>
        <v>438.17</v>
      </c>
      <c r="F22" s="20">
        <f>Jahresübersicht!N25</f>
        <v>0.136928125</v>
      </c>
      <c r="H22" s="22" t="inlineStr">
        <is>
          <t>Errechnete Sparquote (%)</t>
        </is>
      </c>
      <c r="I22" s="23">
        <f>IF(I18&gt;0,I21/I18,0)</f>
        <v>0.25</v>
      </c>
      <c r="J22" s="29" t="inlineStr">
        <is>
          <t>Formel</t>
        </is>
      </c>
      <c r="K22" s="22" t="inlineStr">
        <is>
          <t>Vergleich mit Ziel 15-20%</t>
        </is>
      </c>
    </row>
    <row r="23" ht="20" customHeight="1">
      <c r="A23" s="22" t="inlineStr">
        <is>
          <t>Gesamt 2026</t>
        </is>
      </c>
      <c r="B23" s="30">
        <f>SUM(B11:B22)</f>
        <v>35100</v>
      </c>
      <c r="C23" s="30">
        <f>SUM(C11:C22)</f>
        <v>23789.16</v>
      </c>
      <c r="D23" s="30">
        <f>SUM(D11:D22)</f>
        <v>9802.8</v>
      </c>
      <c r="E23" s="30">
        <f>SUM(E11:E22)</f>
        <v>1508.04</v>
      </c>
      <c r="F23" s="23">
        <f>IF(B23&gt;0,(B23-(C23+D23))/B23,0)</f>
        <v>0.0429641025641026</v>
      </c>
      <c r="H23" s="22" t="inlineStr">
        <is>
          <t>Destatis-Bewertung</t>
        </is>
      </c>
      <c r="I23" s="31" t="str">
        <f>IF(I22&gt;=0.2,"Exzellent (≥20% Vermögensaufbau)",IF(I22&gt;=0.11,"Solide (Über dt. Durchschnitt)","Optimierungsbedarf (&lt;11%)"))</f>
        <v>Exzellent (≥20% Vermögensaufbau)</v>
      </c>
      <c r="J23" s="29" t="inlineStr">
        <is>
          <t>Formel</t>
        </is>
      </c>
      <c r="K23" s="22" t="inlineStr">
        <is>
          <t>Einordnung</t>
        </is>
      </c>
    </row>
  </sheetData>
  <mergeCells count="17">
    <mergeCell ref="E6:F6"/>
    <mergeCell ref="C6:D6"/>
    <mergeCell ref="C7:D7"/>
    <mergeCell ref="A7:B7"/>
    <mergeCell ref="G7:H7"/>
    <mergeCell ref="E7:F7"/>
    <mergeCell ref="I5:K5"/>
    <mergeCell ref="C5:D5"/>
    <mergeCell ref="A5:B5"/>
    <mergeCell ref="A2:K2"/>
    <mergeCell ref="E5:F5"/>
    <mergeCell ref="G5:H5"/>
    <mergeCell ref="G6:H6"/>
    <mergeCell ref="A1:K1"/>
    <mergeCell ref="A6:B6"/>
    <mergeCell ref="I7:K7"/>
    <mergeCell ref="I6:K6"/>
  </mergeCells>
  <pageMargins left="0.75" right="0.75" top="1" bottom="1" header="0.5" footer="0.5"/>
  <pageSetup orientation="landscape" paperSize="9"/>
</worksheet>
</file>

<file path=xl/worksheets/sheet2.xml><?xml version="1.0" encoding="utf-8"?>
<worksheet xmlns="http://schemas.openxmlformats.org/spreadsheetml/2006/main">
  <sheetPr>
    <tabColor rgb="001E3A8A"/>
    <outlinePr summaryBelow="1" summaryRight="1"/>
    <pageSetUpPr/>
  </sheetPr>
  <dimension ref="A1:P26"/>
  <sheetViews>
    <sheetView showGridLines="1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3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6" customWidth="1" min="15" max="15"/>
    <col width="15" customWidth="1" min="16" max="16"/>
  </cols>
  <sheetData>
    <row r="1" ht="40" customHeight="1">
      <c r="A1" s="1" t="inlineStr">
        <is>
          <t>Jahresübersicht 2026 – Einnahmen, Ausgaben &amp; Liquiditätsverlauf</t>
        </is>
      </c>
    </row>
    <row r="2" ht="24" customHeight="1">
      <c r="A2" s="2" t="inlineStr">
        <is>
          <t>Konsolidierte Monatsübersicht (Januar bis Dezember) | Summen &amp; Durchschnitte | Alle Beträge in EUR (€)</t>
        </is>
      </c>
    </row>
    <row r="3" ht="12" customHeight="1"/>
    <row r="4" ht="26" customHeight="1">
      <c r="A4" s="43" t="inlineStr">
        <is>
          <t>Kategorie-Gruppe</t>
        </is>
      </c>
      <c r="B4" s="43" t="inlineStr">
        <is>
          <t>Posten / Unterkategorie</t>
        </is>
      </c>
      <c r="C4" s="16" t="inlineStr">
        <is>
          <t>Jan</t>
        </is>
      </c>
      <c r="D4" s="16" t="inlineStr">
        <is>
          <t>Feb</t>
        </is>
      </c>
      <c r="E4" s="16" t="inlineStr">
        <is>
          <t>Mär</t>
        </is>
      </c>
      <c r="F4" s="16" t="inlineStr">
        <is>
          <t>Apr</t>
        </is>
      </c>
      <c r="G4" s="16" t="inlineStr">
        <is>
          <t>Mai</t>
        </is>
      </c>
      <c r="H4" s="16" t="inlineStr">
        <is>
          <t>Jun</t>
        </is>
      </c>
      <c r="I4" s="16" t="inlineStr">
        <is>
          <t>Jul</t>
        </is>
      </c>
      <c r="J4" s="16" t="inlineStr">
        <is>
          <t>Aug</t>
        </is>
      </c>
      <c r="K4" s="16" t="inlineStr">
        <is>
          <t>Sep</t>
        </is>
      </c>
      <c r="L4" s="16" t="inlineStr">
        <is>
          <t>Okt</t>
        </is>
      </c>
      <c r="M4" s="16" t="inlineStr">
        <is>
          <t>Nov</t>
        </is>
      </c>
      <c r="N4" s="16" t="inlineStr">
        <is>
          <t>Dez</t>
        </is>
      </c>
      <c r="O4" s="16" t="inlineStr">
        <is>
          <t>Gesamt 2026</t>
        </is>
      </c>
      <c r="P4" s="16" t="inlineStr">
        <is>
          <t>Monatsschnitt</t>
        </is>
      </c>
    </row>
    <row r="5" ht="20" customHeight="1">
      <c r="A5" s="44" t="inlineStr">
        <is>
          <t>EINNAHMEN</t>
        </is>
      </c>
      <c r="B5" s="45" t="inlineStr">
        <is>
          <t>Gehalt / Lohn (Hauptjob Netto)</t>
        </is>
      </c>
      <c r="C5" s="18">
        <f>SUMIFS(Buchungsjournal!$G:$G, Buchungsjournal!$F:$F, "Einnahme", Buchungsjournal!$D:$D, $B5, Buchungsjournal!$C:$C, 1)</f>
        <v>2800</v>
      </c>
      <c r="D5" s="18">
        <f>SUMIFS(Buchungsjournal!$G:$G, Buchungsjournal!$F:$F, "Einnahme", Buchungsjournal!$D:$D, $B5, Buchungsjournal!$C:$C, 2)</f>
        <v>2800</v>
      </c>
      <c r="E5" s="18">
        <f>SUMIFS(Buchungsjournal!$G:$G, Buchungsjournal!$F:$F, "Einnahme", Buchungsjournal!$D:$D, $B5, Buchungsjournal!$C:$C, 3)</f>
        <v>2800</v>
      </c>
      <c r="F5" s="18">
        <f>SUMIFS(Buchungsjournal!$G:$G, Buchungsjournal!$F:$F, "Einnahme", Buchungsjournal!$D:$D, $B5, Buchungsjournal!$C:$C, 4)</f>
        <v>2800</v>
      </c>
      <c r="G5" s="18">
        <f>SUMIFS(Buchungsjournal!$G:$G, Buchungsjournal!$F:$F, "Einnahme", Buchungsjournal!$D:$D, $B5, Buchungsjournal!$C:$C, 5)</f>
        <v>2800</v>
      </c>
      <c r="H5" s="18">
        <f>SUMIFS(Buchungsjournal!$G:$G, Buchungsjournal!$F:$F, "Einnahme", Buchungsjournal!$D:$D, $B5, Buchungsjournal!$C:$C, 6)</f>
        <v>3200</v>
      </c>
      <c r="I5" s="18">
        <f>SUMIFS(Buchungsjournal!$G:$G, Buchungsjournal!$F:$F, "Einnahme", Buchungsjournal!$D:$D, $B5, Buchungsjournal!$C:$C, 7)</f>
        <v>2800</v>
      </c>
      <c r="J5" s="18">
        <f>SUMIFS(Buchungsjournal!$G:$G, Buchungsjournal!$F:$F, "Einnahme", Buchungsjournal!$D:$D, $B5, Buchungsjournal!$C:$C, 8)</f>
        <v>2800</v>
      </c>
      <c r="K5" s="18">
        <f>SUMIFS(Buchungsjournal!$G:$G, Buchungsjournal!$F:$F, "Einnahme", Buchungsjournal!$D:$D, $B5, Buchungsjournal!$C:$C, 9)</f>
        <v>2800</v>
      </c>
      <c r="L5" s="18">
        <f>SUMIFS(Buchungsjournal!$G:$G, Buchungsjournal!$F:$F, "Einnahme", Buchungsjournal!$D:$D, $B5, Buchungsjournal!$C:$C, 10)</f>
        <v>2800</v>
      </c>
      <c r="M5" s="18">
        <f>SUMIFS(Buchungsjournal!$G:$G, Buchungsjournal!$F:$F, "Einnahme", Buchungsjournal!$D:$D, $B5, Buchungsjournal!$C:$C, 11)</f>
        <v>2800</v>
      </c>
      <c r="N5" s="18">
        <f>SUMIFS(Buchungsjournal!$G:$G, Buchungsjournal!$F:$F, "Einnahme", Buchungsjournal!$D:$D, $B5, Buchungsjournal!$C:$C, 12)</f>
        <v>3200</v>
      </c>
      <c r="O5" s="19">
        <f>SUM(C5:N5)</f>
        <v>34400</v>
      </c>
      <c r="P5" s="18">
        <f>AVERAGE(C5:N5)</f>
        <v>2866.66666666667</v>
      </c>
    </row>
    <row r="6" ht="20" customHeight="1">
      <c r="A6" s="46" t="inlineStr"/>
      <c r="B6" s="45" t="inlineStr">
        <is>
          <t>Nebenjob / Freiberufliche Tätigkeit</t>
        </is>
      </c>
      <c r="C6" s="18">
        <f>SUMIFS(Buchungsjournal!$G:$G, Buchungsjournal!$F:$F, "Einnahme", Buchungsjournal!$D:$D, $B6, Buchungsjournal!$C:$C, 1)</f>
        <v>0</v>
      </c>
      <c r="D6" s="18">
        <f>SUMIFS(Buchungsjournal!$G:$G, Buchungsjournal!$F:$F, "Einnahme", Buchungsjournal!$D:$D, $B6, Buchungsjournal!$C:$C, 2)</f>
        <v>0</v>
      </c>
      <c r="E6" s="18">
        <f>SUMIFS(Buchungsjournal!$G:$G, Buchungsjournal!$F:$F, "Einnahme", Buchungsjournal!$D:$D, $B6, Buchungsjournal!$C:$C, 3)</f>
        <v>350</v>
      </c>
      <c r="F6" s="18">
        <f>SUMIFS(Buchungsjournal!$G:$G, Buchungsjournal!$F:$F, "Einnahme", Buchungsjournal!$D:$D, $B6, Buchungsjournal!$C:$C, 4)</f>
        <v>0</v>
      </c>
      <c r="G6" s="18">
        <f>SUMIFS(Buchungsjournal!$G:$G, Buchungsjournal!$F:$F, "Einnahme", Buchungsjournal!$D:$D, $B6, Buchungsjournal!$C:$C, 5)</f>
        <v>0</v>
      </c>
      <c r="H6" s="18">
        <f>SUMIFS(Buchungsjournal!$G:$G, Buchungsjournal!$F:$F, "Einnahme", Buchungsjournal!$D:$D, $B6, Buchungsjournal!$C:$C, 6)</f>
        <v>0</v>
      </c>
      <c r="I6" s="18">
        <f>SUMIFS(Buchungsjournal!$G:$G, Buchungsjournal!$F:$F, "Einnahme", Buchungsjournal!$D:$D, $B6, Buchungsjournal!$C:$C, 7)</f>
        <v>0</v>
      </c>
      <c r="J6" s="18">
        <f>SUMIFS(Buchungsjournal!$G:$G, Buchungsjournal!$F:$F, "Einnahme", Buchungsjournal!$D:$D, $B6, Buchungsjournal!$C:$C, 8)</f>
        <v>0</v>
      </c>
      <c r="K6" s="18">
        <f>SUMIFS(Buchungsjournal!$G:$G, Buchungsjournal!$F:$F, "Einnahme", Buchungsjournal!$D:$D, $B6, Buchungsjournal!$C:$C, 9)</f>
        <v>350</v>
      </c>
      <c r="L6" s="18">
        <f>SUMIFS(Buchungsjournal!$G:$G, Buchungsjournal!$F:$F, "Einnahme", Buchungsjournal!$D:$D, $B6, Buchungsjournal!$C:$C, 10)</f>
        <v>0</v>
      </c>
      <c r="M6" s="18">
        <f>SUMIFS(Buchungsjournal!$G:$G, Buchungsjournal!$F:$F, "Einnahme", Buchungsjournal!$D:$D, $B6, Buchungsjournal!$C:$C, 11)</f>
        <v>0</v>
      </c>
      <c r="N6" s="18">
        <f>SUMIFS(Buchungsjournal!$G:$G, Buchungsjournal!$F:$F, "Einnahme", Buchungsjournal!$D:$D, $B6, Buchungsjournal!$C:$C, 12)</f>
        <v>0</v>
      </c>
      <c r="O6" s="19">
        <f>SUM(C6:N6)</f>
        <v>700</v>
      </c>
      <c r="P6" s="18">
        <f>AVERAGE(C6:N6)</f>
        <v>58.3333333333333</v>
      </c>
    </row>
    <row r="7" ht="20" customHeight="1">
      <c r="A7" s="46" t="inlineStr"/>
      <c r="B7" s="45" t="inlineStr">
        <is>
          <t>Kindergeld / Staatliche Leistungen</t>
        </is>
      </c>
      <c r="C7" s="18">
        <f>SUMIFS(Buchungsjournal!$G:$G, Buchungsjournal!$F:$F, "Einnahme", Buchungsjournal!$D:$D, $B7, Buchungsjournal!$C:$C, 1)</f>
        <v>0</v>
      </c>
      <c r="D7" s="18">
        <f>SUMIFS(Buchungsjournal!$G:$G, Buchungsjournal!$F:$F, "Einnahme", Buchungsjournal!$D:$D, $B7, Buchungsjournal!$C:$C, 2)</f>
        <v>0</v>
      </c>
      <c r="E7" s="18">
        <f>SUMIFS(Buchungsjournal!$G:$G, Buchungsjournal!$F:$F, "Einnahme", Buchungsjournal!$D:$D, $B7, Buchungsjournal!$C:$C, 3)</f>
        <v>0</v>
      </c>
      <c r="F7" s="18">
        <f>SUMIFS(Buchungsjournal!$G:$G, Buchungsjournal!$F:$F, "Einnahme", Buchungsjournal!$D:$D, $B7, Buchungsjournal!$C:$C, 4)</f>
        <v>0</v>
      </c>
      <c r="G7" s="18">
        <f>SUMIFS(Buchungsjournal!$G:$G, Buchungsjournal!$F:$F, "Einnahme", Buchungsjournal!$D:$D, $B7, Buchungsjournal!$C:$C, 5)</f>
        <v>0</v>
      </c>
      <c r="H7" s="18">
        <f>SUMIFS(Buchungsjournal!$G:$G, Buchungsjournal!$F:$F, "Einnahme", Buchungsjournal!$D:$D, $B7, Buchungsjournal!$C:$C, 6)</f>
        <v>0</v>
      </c>
      <c r="I7" s="18">
        <f>SUMIFS(Buchungsjournal!$G:$G, Buchungsjournal!$F:$F, "Einnahme", Buchungsjournal!$D:$D, $B7, Buchungsjournal!$C:$C, 7)</f>
        <v>0</v>
      </c>
      <c r="J7" s="18">
        <f>SUMIFS(Buchungsjournal!$G:$G, Buchungsjournal!$F:$F, "Einnahme", Buchungsjournal!$D:$D, $B7, Buchungsjournal!$C:$C, 8)</f>
        <v>0</v>
      </c>
      <c r="K7" s="18">
        <f>SUMIFS(Buchungsjournal!$G:$G, Buchungsjournal!$F:$F, "Einnahme", Buchungsjournal!$D:$D, $B7, Buchungsjournal!$C:$C, 9)</f>
        <v>0</v>
      </c>
      <c r="L7" s="18">
        <f>SUMIFS(Buchungsjournal!$G:$G, Buchungsjournal!$F:$F, "Einnahme", Buchungsjournal!$D:$D, $B7, Buchungsjournal!$C:$C, 10)</f>
        <v>0</v>
      </c>
      <c r="M7" s="18">
        <f>SUMIFS(Buchungsjournal!$G:$G, Buchungsjournal!$F:$F, "Einnahme", Buchungsjournal!$D:$D, $B7, Buchungsjournal!$C:$C, 11)</f>
        <v>0</v>
      </c>
      <c r="N7" s="18">
        <f>SUMIFS(Buchungsjournal!$G:$G, Buchungsjournal!$F:$F, "Einnahme", Buchungsjournal!$D:$D, $B7, Buchungsjournal!$C:$C, 12)</f>
        <v>0</v>
      </c>
      <c r="O7" s="19">
        <f>SUM(C7:N7)</f>
        <v>0</v>
      </c>
      <c r="P7" s="18">
        <f>AVERAGE(C7:N7)</f>
        <v>0</v>
      </c>
    </row>
    <row r="8" ht="20" customHeight="1">
      <c r="A8" s="46" t="inlineStr"/>
      <c r="B8" s="45" t="inlineStr">
        <is>
          <t>Kapitalerträge &amp; Zinsen (Tagesgeld/Depot)</t>
        </is>
      </c>
      <c r="C8" s="18">
        <f>SUMIFS(Buchungsjournal!$G:$G, Buchungsjournal!$F:$F, "Einnahme", Buchungsjournal!$D:$D, $B8, Buchungsjournal!$C:$C, 1)</f>
        <v>0</v>
      </c>
      <c r="D8" s="18">
        <f>SUMIFS(Buchungsjournal!$G:$G, Buchungsjournal!$F:$F, "Einnahme", Buchungsjournal!$D:$D, $B8, Buchungsjournal!$C:$C, 2)</f>
        <v>0</v>
      </c>
      <c r="E8" s="18">
        <f>SUMIFS(Buchungsjournal!$G:$G, Buchungsjournal!$F:$F, "Einnahme", Buchungsjournal!$D:$D, $B8, Buchungsjournal!$C:$C, 3)</f>
        <v>0</v>
      </c>
      <c r="F8" s="18">
        <f>SUMIFS(Buchungsjournal!$G:$G, Buchungsjournal!$F:$F, "Einnahme", Buchungsjournal!$D:$D, $B8, Buchungsjournal!$C:$C, 4)</f>
        <v>0</v>
      </c>
      <c r="G8" s="18">
        <f>SUMIFS(Buchungsjournal!$G:$G, Buchungsjournal!$F:$F, "Einnahme", Buchungsjournal!$D:$D, $B8, Buchungsjournal!$C:$C, 5)</f>
        <v>0</v>
      </c>
      <c r="H8" s="18">
        <f>SUMIFS(Buchungsjournal!$G:$G, Buchungsjournal!$F:$F, "Einnahme", Buchungsjournal!$D:$D, $B8, Buchungsjournal!$C:$C, 6)</f>
        <v>0</v>
      </c>
      <c r="I8" s="18">
        <f>SUMIFS(Buchungsjournal!$G:$G, Buchungsjournal!$F:$F, "Einnahme", Buchungsjournal!$D:$D, $B8, Buchungsjournal!$C:$C, 7)</f>
        <v>0</v>
      </c>
      <c r="J8" s="18">
        <f>SUMIFS(Buchungsjournal!$G:$G, Buchungsjournal!$F:$F, "Einnahme", Buchungsjournal!$D:$D, $B8, Buchungsjournal!$C:$C, 8)</f>
        <v>0</v>
      </c>
      <c r="K8" s="18">
        <f>SUMIFS(Buchungsjournal!$G:$G, Buchungsjournal!$F:$F, "Einnahme", Buchungsjournal!$D:$D, $B8, Buchungsjournal!$C:$C, 9)</f>
        <v>0</v>
      </c>
      <c r="L8" s="18">
        <f>SUMIFS(Buchungsjournal!$G:$G, Buchungsjournal!$F:$F, "Einnahme", Buchungsjournal!$D:$D, $B8, Buchungsjournal!$C:$C, 10)</f>
        <v>0</v>
      </c>
      <c r="M8" s="18">
        <f>SUMIFS(Buchungsjournal!$G:$G, Buchungsjournal!$F:$F, "Einnahme", Buchungsjournal!$D:$D, $B8, Buchungsjournal!$C:$C, 11)</f>
        <v>0</v>
      </c>
      <c r="N8" s="18">
        <f>SUMIFS(Buchungsjournal!$G:$G, Buchungsjournal!$F:$F, "Einnahme", Buchungsjournal!$D:$D, $B8, Buchungsjournal!$C:$C, 12)</f>
        <v>0</v>
      </c>
      <c r="O8" s="19">
        <f>SUM(C8:N8)</f>
        <v>0</v>
      </c>
      <c r="P8" s="18">
        <f>AVERAGE(C8:N8)</f>
        <v>0</v>
      </c>
    </row>
    <row r="9" ht="20" customHeight="1">
      <c r="A9" s="46" t="inlineStr"/>
      <c r="B9" s="45" t="inlineStr">
        <is>
          <t>Rückerstattungen &amp; Sonstige Einnahmen</t>
        </is>
      </c>
      <c r="C9" s="18">
        <f>SUMIFS(Buchungsjournal!$G:$G, Buchungsjournal!$F:$F, "Einnahme", Buchungsjournal!$D:$D, $B9, Buchungsjournal!$C:$C, 1)</f>
        <v>0</v>
      </c>
      <c r="D9" s="18">
        <f>SUMIFS(Buchungsjournal!$G:$G, Buchungsjournal!$F:$F, "Einnahme", Buchungsjournal!$D:$D, $B9, Buchungsjournal!$C:$C, 2)</f>
        <v>0</v>
      </c>
      <c r="E9" s="18">
        <f>SUMIFS(Buchungsjournal!$G:$G, Buchungsjournal!$F:$F, "Einnahme", Buchungsjournal!$D:$D, $B9, Buchungsjournal!$C:$C, 3)</f>
        <v>0</v>
      </c>
      <c r="F9" s="18">
        <f>SUMIFS(Buchungsjournal!$G:$G, Buchungsjournal!$F:$F, "Einnahme", Buchungsjournal!$D:$D, $B9, Buchungsjournal!$C:$C, 4)</f>
        <v>0</v>
      </c>
      <c r="G9" s="18">
        <f>SUMIFS(Buchungsjournal!$G:$G, Buchungsjournal!$F:$F, "Einnahme", Buchungsjournal!$D:$D, $B9, Buchungsjournal!$C:$C, 5)</f>
        <v>0</v>
      </c>
      <c r="H9" s="18">
        <f>SUMIFS(Buchungsjournal!$G:$G, Buchungsjournal!$F:$F, "Einnahme", Buchungsjournal!$D:$D, $B9, Buchungsjournal!$C:$C, 6)</f>
        <v>0</v>
      </c>
      <c r="I9" s="18">
        <f>SUMIFS(Buchungsjournal!$G:$G, Buchungsjournal!$F:$F, "Einnahme", Buchungsjournal!$D:$D, $B9, Buchungsjournal!$C:$C, 7)</f>
        <v>0</v>
      </c>
      <c r="J9" s="18">
        <f>SUMIFS(Buchungsjournal!$G:$G, Buchungsjournal!$F:$F, "Einnahme", Buchungsjournal!$D:$D, $B9, Buchungsjournal!$C:$C, 8)</f>
        <v>0</v>
      </c>
      <c r="K9" s="18">
        <f>SUMIFS(Buchungsjournal!$G:$G, Buchungsjournal!$F:$F, "Einnahme", Buchungsjournal!$D:$D, $B9, Buchungsjournal!$C:$C, 9)</f>
        <v>0</v>
      </c>
      <c r="L9" s="18">
        <f>SUMIFS(Buchungsjournal!$G:$G, Buchungsjournal!$F:$F, "Einnahme", Buchungsjournal!$D:$D, $B9, Buchungsjournal!$C:$C, 10)</f>
        <v>0</v>
      </c>
      <c r="M9" s="18">
        <f>SUMIFS(Buchungsjournal!$G:$G, Buchungsjournal!$F:$F, "Einnahme", Buchungsjournal!$D:$D, $B9, Buchungsjournal!$C:$C, 11)</f>
        <v>0</v>
      </c>
      <c r="N9" s="18">
        <f>SUMIFS(Buchungsjournal!$G:$G, Buchungsjournal!$F:$F, "Einnahme", Buchungsjournal!$D:$D, $B9, Buchungsjournal!$C:$C, 12)</f>
        <v>0</v>
      </c>
      <c r="O9" s="19">
        <f>SUM(C9:N9)</f>
        <v>0</v>
      </c>
      <c r="P9" s="18">
        <f>AVERAGE(C9:N9)</f>
        <v>0</v>
      </c>
    </row>
    <row r="10" ht="20" customHeight="1">
      <c r="A10" s="46" t="inlineStr"/>
      <c r="B10" s="45" t="inlineStr">
        <is>
          <t>Puffer / Zusatzeinnahmen</t>
        </is>
      </c>
      <c r="C10" s="18">
        <f>SUMIFS(Buchungsjournal!$G:$G, Buchungsjournal!$F:$F, "Einnahme", Buchungsjournal!$D:$D, $B10, Buchungsjournal!$C:$C, 1)</f>
        <v>0</v>
      </c>
      <c r="D10" s="18">
        <f>SUMIFS(Buchungsjournal!$G:$G, Buchungsjournal!$F:$F, "Einnahme", Buchungsjournal!$D:$D, $B10, Buchungsjournal!$C:$C, 2)</f>
        <v>0</v>
      </c>
      <c r="E10" s="18">
        <f>SUMIFS(Buchungsjournal!$G:$G, Buchungsjournal!$F:$F, "Einnahme", Buchungsjournal!$D:$D, $B10, Buchungsjournal!$C:$C, 3)</f>
        <v>0</v>
      </c>
      <c r="F10" s="18">
        <f>SUMIFS(Buchungsjournal!$G:$G, Buchungsjournal!$F:$F, "Einnahme", Buchungsjournal!$D:$D, $B10, Buchungsjournal!$C:$C, 4)</f>
        <v>0</v>
      </c>
      <c r="G10" s="18">
        <f>SUMIFS(Buchungsjournal!$G:$G, Buchungsjournal!$F:$F, "Einnahme", Buchungsjournal!$D:$D, $B10, Buchungsjournal!$C:$C, 5)</f>
        <v>0</v>
      </c>
      <c r="H10" s="18">
        <f>SUMIFS(Buchungsjournal!$G:$G, Buchungsjournal!$F:$F, "Einnahme", Buchungsjournal!$D:$D, $B10, Buchungsjournal!$C:$C, 6)</f>
        <v>0</v>
      </c>
      <c r="I10" s="18">
        <f>SUMIFS(Buchungsjournal!$G:$G, Buchungsjournal!$F:$F, "Einnahme", Buchungsjournal!$D:$D, $B10, Buchungsjournal!$C:$C, 7)</f>
        <v>0</v>
      </c>
      <c r="J10" s="18">
        <f>SUMIFS(Buchungsjournal!$G:$G, Buchungsjournal!$F:$F, "Einnahme", Buchungsjournal!$D:$D, $B10, Buchungsjournal!$C:$C, 8)</f>
        <v>0</v>
      </c>
      <c r="K10" s="18">
        <f>SUMIFS(Buchungsjournal!$G:$G, Buchungsjournal!$F:$F, "Einnahme", Buchungsjournal!$D:$D, $B10, Buchungsjournal!$C:$C, 9)</f>
        <v>0</v>
      </c>
      <c r="L10" s="18">
        <f>SUMIFS(Buchungsjournal!$G:$G, Buchungsjournal!$F:$F, "Einnahme", Buchungsjournal!$D:$D, $B10, Buchungsjournal!$C:$C, 10)</f>
        <v>0</v>
      </c>
      <c r="M10" s="18">
        <f>SUMIFS(Buchungsjournal!$G:$G, Buchungsjournal!$F:$F, "Einnahme", Buchungsjournal!$D:$D, $B10, Buchungsjournal!$C:$C, 11)</f>
        <v>0</v>
      </c>
      <c r="N10" s="18">
        <f>SUMIFS(Buchungsjournal!$G:$G, Buchungsjournal!$F:$F, "Einnahme", Buchungsjournal!$D:$D, $B10, Buchungsjournal!$C:$C, 12)</f>
        <v>0</v>
      </c>
      <c r="O10" s="19">
        <f>SUM(C10:N10)</f>
        <v>0</v>
      </c>
      <c r="P10" s="18">
        <f>AVERAGE(C10:N10)</f>
        <v>0</v>
      </c>
    </row>
    <row r="11" ht="24" customHeight="1">
      <c r="A11" s="47" t="inlineStr">
        <is>
          <t>GESAMTEINNAHMEN</t>
        </is>
      </c>
      <c r="B11" s="47" t="inlineStr">
        <is>
          <t>Summe aller Einnahmen</t>
        </is>
      </c>
      <c r="C11" s="30">
        <f>SUM(C5:C10)</f>
        <v>2800</v>
      </c>
      <c r="D11" s="30">
        <f>SUM(D5:D10)</f>
        <v>2800</v>
      </c>
      <c r="E11" s="30">
        <f>SUM(E5:E10)</f>
        <v>3150</v>
      </c>
      <c r="F11" s="30">
        <f>SUM(F5:F10)</f>
        <v>2800</v>
      </c>
      <c r="G11" s="30">
        <f>SUM(G5:G10)</f>
        <v>2800</v>
      </c>
      <c r="H11" s="30">
        <f>SUM(H5:H10)</f>
        <v>3200</v>
      </c>
      <c r="I11" s="30">
        <f>SUM(I5:I10)</f>
        <v>2800</v>
      </c>
      <c r="J11" s="30">
        <f>SUM(J5:J10)</f>
        <v>2800</v>
      </c>
      <c r="K11" s="30">
        <f>SUM(K5:K10)</f>
        <v>3150</v>
      </c>
      <c r="L11" s="30">
        <f>SUM(L5:L10)</f>
        <v>2800</v>
      </c>
      <c r="M11" s="30">
        <f>SUM(M5:M10)</f>
        <v>2800</v>
      </c>
      <c r="N11" s="30">
        <f>SUM(N5:N10)</f>
        <v>3200</v>
      </c>
      <c r="O11" s="30">
        <f>SUM(O5:O10)</f>
        <v>35100</v>
      </c>
      <c r="P11" s="30">
        <f>AVERAGE(C11:N11)</f>
        <v>2925</v>
      </c>
    </row>
    <row r="12" ht="14" customHeight="1"/>
    <row r="13" ht="20" customHeight="1">
      <c r="A13" s="44" t="inlineStr">
        <is>
          <t>FIXKOSTEN</t>
        </is>
      </c>
      <c r="B13" s="45" t="inlineStr">
        <is>
          <t>Grundbedarf Fix (Wohnen, Energie, Internet, Pflichtvers.)</t>
        </is>
      </c>
      <c r="C13" s="18">
        <f>SUMIF(Fixkosten!$E:$E, "Grundbedarf (50%)", Fixkosten!$J:$J)</f>
        <v>1293.31</v>
      </c>
      <c r="D13" s="18">
        <f>SUMIF(Fixkosten!$E:$E, "Grundbedarf (50%)", Fixkosten!$J:$J)</f>
        <v>1293.31</v>
      </c>
      <c r="E13" s="18">
        <f>SUMIF(Fixkosten!$E:$E, "Grundbedarf (50%)", Fixkosten!$J:$J)</f>
        <v>1293.31</v>
      </c>
      <c r="F13" s="18">
        <f>SUMIF(Fixkosten!$E:$E, "Grundbedarf (50%)", Fixkosten!$J:$J)</f>
        <v>1293.31</v>
      </c>
      <c r="G13" s="18">
        <f>SUMIF(Fixkosten!$E:$E, "Grundbedarf (50%)", Fixkosten!$J:$J)</f>
        <v>1293.31</v>
      </c>
      <c r="H13" s="18">
        <f>SUMIF(Fixkosten!$E:$E, "Grundbedarf (50%)", Fixkosten!$J:$J)</f>
        <v>1293.31</v>
      </c>
      <c r="I13" s="18">
        <f>SUMIF(Fixkosten!$E:$E, "Grundbedarf (50%)", Fixkosten!$J:$J)</f>
        <v>1293.31</v>
      </c>
      <c r="J13" s="18">
        <f>SUMIF(Fixkosten!$E:$E, "Grundbedarf (50%)", Fixkosten!$J:$J)</f>
        <v>1293.31</v>
      </c>
      <c r="K13" s="18">
        <f>SUMIF(Fixkosten!$E:$E, "Grundbedarf (50%)", Fixkosten!$J:$J)</f>
        <v>1293.31</v>
      </c>
      <c r="L13" s="18">
        <f>SUMIF(Fixkosten!$E:$E, "Grundbedarf (50%)", Fixkosten!$J:$J)</f>
        <v>1293.31</v>
      </c>
      <c r="M13" s="18">
        <f>SUMIF(Fixkosten!$E:$E, "Grundbedarf (50%)", Fixkosten!$J:$J)</f>
        <v>1293.31</v>
      </c>
      <c r="N13" s="18">
        <f>SUMIF(Fixkosten!$E:$E, "Grundbedarf (50%)", Fixkosten!$J:$J)</f>
        <v>1293.31</v>
      </c>
      <c r="O13" s="19">
        <f>SUM(C13:N13)</f>
        <v>15519.72</v>
      </c>
      <c r="P13" s="18">
        <f>AVERAGE(C13:N13)</f>
        <v>1293.31</v>
      </c>
    </row>
    <row r="14" ht="20" customHeight="1">
      <c r="A14" s="46" t="inlineStr"/>
      <c r="B14" s="45" t="inlineStr">
        <is>
          <t>Wünsche Fix (Abos, Fitness, Streaming, Freizeitverträge)</t>
        </is>
      </c>
      <c r="C14" s="18">
        <f>SUMIF(Fixkosten!$E:$E, "Wünsche (30%)", Fixkosten!$J:$J)</f>
        <v>89.12</v>
      </c>
      <c r="D14" s="18">
        <f>SUMIF(Fixkosten!$E:$E, "Wünsche (30%)", Fixkosten!$J:$J)</f>
        <v>89.12</v>
      </c>
      <c r="E14" s="18">
        <f>SUMIF(Fixkosten!$E:$E, "Wünsche (30%)", Fixkosten!$J:$J)</f>
        <v>89.12</v>
      </c>
      <c r="F14" s="18">
        <f>SUMIF(Fixkosten!$E:$E, "Wünsche (30%)", Fixkosten!$J:$J)</f>
        <v>89.12</v>
      </c>
      <c r="G14" s="18">
        <f>SUMIF(Fixkosten!$E:$E, "Wünsche (30%)", Fixkosten!$J:$J)</f>
        <v>89.12</v>
      </c>
      <c r="H14" s="18">
        <f>SUMIF(Fixkosten!$E:$E, "Wünsche (30%)", Fixkosten!$J:$J)</f>
        <v>89.12</v>
      </c>
      <c r="I14" s="18">
        <f>SUMIF(Fixkosten!$E:$E, "Wünsche (30%)", Fixkosten!$J:$J)</f>
        <v>89.12</v>
      </c>
      <c r="J14" s="18">
        <f>SUMIF(Fixkosten!$E:$E, "Wünsche (30%)", Fixkosten!$J:$J)</f>
        <v>89.12</v>
      </c>
      <c r="K14" s="18">
        <f>SUMIF(Fixkosten!$E:$E, "Wünsche (30%)", Fixkosten!$J:$J)</f>
        <v>89.12</v>
      </c>
      <c r="L14" s="18">
        <f>SUMIF(Fixkosten!$E:$E, "Wünsche (30%)", Fixkosten!$J:$J)</f>
        <v>89.12</v>
      </c>
      <c r="M14" s="18">
        <f>SUMIF(Fixkosten!$E:$E, "Wünsche (30%)", Fixkosten!$J:$J)</f>
        <v>89.12</v>
      </c>
      <c r="N14" s="18">
        <f>SUMIF(Fixkosten!$E:$E, "Wünsche (30%)", Fixkosten!$J:$J)</f>
        <v>89.12</v>
      </c>
      <c r="O14" s="19">
        <f>SUM(C14:N14)</f>
        <v>1069.44</v>
      </c>
      <c r="P14" s="18">
        <f>AVERAGE(C14:N14)</f>
        <v>89.12</v>
      </c>
    </row>
    <row r="15" ht="20" customHeight="1">
      <c r="A15" s="46" t="inlineStr"/>
      <c r="B15" s="45" t="inlineStr">
        <is>
          <t>Sparen &amp; Tilgen Fix (ETF-Sparplan, Kreditraten, Bausparen)</t>
        </is>
      </c>
      <c r="C15" s="18">
        <f>SUMIF(Fixkosten!$E:$E, "Sparen &amp; Tilgen (20%)", Fixkosten!$J:$J)</f>
        <v>600</v>
      </c>
      <c r="D15" s="18">
        <f>SUMIF(Fixkosten!$E:$E, "Sparen &amp; Tilgen (20%)", Fixkosten!$J:$J)</f>
        <v>600</v>
      </c>
      <c r="E15" s="18">
        <f>SUMIF(Fixkosten!$E:$E, "Sparen &amp; Tilgen (20%)", Fixkosten!$J:$J)</f>
        <v>600</v>
      </c>
      <c r="F15" s="18">
        <f>SUMIF(Fixkosten!$E:$E, "Sparen &amp; Tilgen (20%)", Fixkosten!$J:$J)</f>
        <v>600</v>
      </c>
      <c r="G15" s="18">
        <f>SUMIF(Fixkosten!$E:$E, "Sparen &amp; Tilgen (20%)", Fixkosten!$J:$J)</f>
        <v>600</v>
      </c>
      <c r="H15" s="18">
        <f>SUMIF(Fixkosten!$E:$E, "Sparen &amp; Tilgen (20%)", Fixkosten!$J:$J)</f>
        <v>600</v>
      </c>
      <c r="I15" s="18">
        <f>SUMIF(Fixkosten!$E:$E, "Sparen &amp; Tilgen (20%)", Fixkosten!$J:$J)</f>
        <v>600</v>
      </c>
      <c r="J15" s="18">
        <f>SUMIF(Fixkosten!$E:$E, "Sparen &amp; Tilgen (20%)", Fixkosten!$J:$J)</f>
        <v>600</v>
      </c>
      <c r="K15" s="18">
        <f>SUMIF(Fixkosten!$E:$E, "Sparen &amp; Tilgen (20%)", Fixkosten!$J:$J)</f>
        <v>600</v>
      </c>
      <c r="L15" s="18">
        <f>SUMIF(Fixkosten!$E:$E, "Sparen &amp; Tilgen (20%)", Fixkosten!$J:$J)</f>
        <v>600</v>
      </c>
      <c r="M15" s="18">
        <f>SUMIF(Fixkosten!$E:$E, "Sparen &amp; Tilgen (20%)", Fixkosten!$J:$J)</f>
        <v>600</v>
      </c>
      <c r="N15" s="18">
        <f>SUMIF(Fixkosten!$E:$E, "Sparen &amp; Tilgen (20%)", Fixkosten!$J:$J)</f>
        <v>600</v>
      </c>
      <c r="O15" s="19">
        <f>SUM(C15:N15)</f>
        <v>7200</v>
      </c>
      <c r="P15" s="18">
        <f>AVERAGE(C15:N15)</f>
        <v>600</v>
      </c>
    </row>
    <row r="16" ht="24" customHeight="1">
      <c r="A16" s="47" t="inlineStr">
        <is>
          <t>GESAMT FIXKOSTEN</t>
        </is>
      </c>
      <c r="B16" s="47" t="inlineStr">
        <is>
          <t>Summe aller monatlichen Fixkosten &amp; Umlagen</t>
        </is>
      </c>
      <c r="C16" s="30">
        <f>SUM(C13:C15)</f>
        <v>1982.43</v>
      </c>
      <c r="D16" s="30">
        <f>SUM(D13:D15)</f>
        <v>1982.43</v>
      </c>
      <c r="E16" s="30">
        <f>SUM(E13:E15)</f>
        <v>1982.43</v>
      </c>
      <c r="F16" s="30">
        <f>SUM(F13:F15)</f>
        <v>1982.43</v>
      </c>
      <c r="G16" s="30">
        <f>SUM(G13:G15)</f>
        <v>1982.43</v>
      </c>
      <c r="H16" s="30">
        <f>SUM(H13:H15)</f>
        <v>1982.43</v>
      </c>
      <c r="I16" s="30">
        <f>SUM(I13:I15)</f>
        <v>1982.43</v>
      </c>
      <c r="J16" s="30">
        <f>SUM(J13:J15)</f>
        <v>1982.43</v>
      </c>
      <c r="K16" s="30">
        <f>SUM(K13:K15)</f>
        <v>1982.43</v>
      </c>
      <c r="L16" s="30">
        <f>SUM(L13:L15)</f>
        <v>1982.43</v>
      </c>
      <c r="M16" s="30">
        <f>SUM(M13:M15)</f>
        <v>1982.43</v>
      </c>
      <c r="N16" s="30">
        <f>SUM(N13:N15)</f>
        <v>1982.43</v>
      </c>
      <c r="O16" s="30">
        <f>SUM(O13:O15)</f>
        <v>23789.16</v>
      </c>
      <c r="P16" s="30">
        <f>AVERAGE(C16:N16)</f>
        <v>1982.43</v>
      </c>
    </row>
    <row r="17" ht="14" customHeight="1"/>
    <row r="18" ht="20" customHeight="1">
      <c r="A18" s="44" t="inlineStr">
        <is>
          <t>VARIABLE AUSGABEN</t>
        </is>
      </c>
      <c r="B18" s="45" t="inlineStr">
        <is>
          <t>Grundbedarf Variabel (Lebensmittel, Drogerie, Tanken/ÖPNV)</t>
        </is>
      </c>
      <c r="C18" s="18">
        <f>SUMIFS(Buchungsjournal!$G:$G, Buchungsjournal!$F:$F, "Ausgabe", Buchungsjournal!$E:$E, "Grundbedarf (50%)", Buchungsjournal!$C:$C, 1)</f>
        <v>541</v>
      </c>
      <c r="D18" s="18">
        <f>SUMIFS(Buchungsjournal!$G:$G, Buchungsjournal!$F:$F, "Ausgabe", Buchungsjournal!$E:$E, "Grundbedarf (50%)", Buchungsjournal!$C:$C, 2)</f>
        <v>541</v>
      </c>
      <c r="E18" s="18">
        <f>SUMIFS(Buchungsjournal!$G:$G, Buchungsjournal!$F:$F, "Ausgabe", Buchungsjournal!$E:$E, "Grundbedarf (50%)", Buchungsjournal!$C:$C, 3)</f>
        <v>541</v>
      </c>
      <c r="F18" s="18">
        <f>SUMIFS(Buchungsjournal!$G:$G, Buchungsjournal!$F:$F, "Ausgabe", Buchungsjournal!$E:$E, "Grundbedarf (50%)", Buchungsjournal!$C:$C, 4)</f>
        <v>541</v>
      </c>
      <c r="G18" s="18">
        <f>SUMIFS(Buchungsjournal!$G:$G, Buchungsjournal!$F:$F, "Ausgabe", Buchungsjournal!$E:$E, "Grundbedarf (50%)", Buchungsjournal!$C:$C, 5)</f>
        <v>541</v>
      </c>
      <c r="H18" s="18">
        <f>SUMIFS(Buchungsjournal!$G:$G, Buchungsjournal!$F:$F, "Ausgabe", Buchungsjournal!$E:$E, "Grundbedarf (50%)", Buchungsjournal!$C:$C, 6)</f>
        <v>541</v>
      </c>
      <c r="I18" s="18">
        <f>SUMIFS(Buchungsjournal!$G:$G, Buchungsjournal!$F:$F, "Ausgabe", Buchungsjournal!$E:$E, "Grundbedarf (50%)", Buchungsjournal!$C:$C, 7)</f>
        <v>541</v>
      </c>
      <c r="J18" s="18">
        <f>SUMIFS(Buchungsjournal!$G:$G, Buchungsjournal!$F:$F, "Ausgabe", Buchungsjournal!$E:$E, "Grundbedarf (50%)", Buchungsjournal!$C:$C, 8)</f>
        <v>541</v>
      </c>
      <c r="K18" s="18">
        <f>SUMIFS(Buchungsjournal!$G:$G, Buchungsjournal!$F:$F, "Ausgabe", Buchungsjournal!$E:$E, "Grundbedarf (50%)", Buchungsjournal!$C:$C, 9)</f>
        <v>541</v>
      </c>
      <c r="L18" s="18">
        <f>SUMIFS(Buchungsjournal!$G:$G, Buchungsjournal!$F:$F, "Ausgabe", Buchungsjournal!$E:$E, "Grundbedarf (50%)", Buchungsjournal!$C:$C, 10)</f>
        <v>541</v>
      </c>
      <c r="M18" s="18">
        <f>SUMIFS(Buchungsjournal!$G:$G, Buchungsjournal!$F:$F, "Ausgabe", Buchungsjournal!$E:$E, "Grundbedarf (50%)", Buchungsjournal!$C:$C, 11)</f>
        <v>541</v>
      </c>
      <c r="N18" s="18">
        <f>SUMIFS(Buchungsjournal!$G:$G, Buchungsjournal!$F:$F, "Ausgabe", Buchungsjournal!$E:$E, "Grundbedarf (50%)", Buchungsjournal!$C:$C, 12)</f>
        <v>541</v>
      </c>
      <c r="O18" s="19">
        <f>SUM(C18:N18)</f>
        <v>6492</v>
      </c>
      <c r="P18" s="18">
        <f>AVERAGE(C18:N18)</f>
        <v>541</v>
      </c>
    </row>
    <row r="19" ht="20" customHeight="1">
      <c r="A19" s="46" t="inlineStr"/>
      <c r="B19" s="45" t="inlineStr">
        <is>
          <t>Wünsche Variabel (Shopping, Restaurant, Freizeit, Urlaub)</t>
        </is>
      </c>
      <c r="C19" s="18">
        <f>SUMIFS(Buchungsjournal!$G:$G, Buchungsjournal!$F:$F, "Ausgabe", Buchungsjournal!$E:$E, "Wünsche (30%)", Buchungsjournal!$C:$C, 1)</f>
        <v>238.4</v>
      </c>
      <c r="D19" s="18">
        <f>SUMIFS(Buchungsjournal!$G:$G, Buchungsjournal!$F:$F, "Ausgabe", Buchungsjournal!$E:$E, "Wünsche (30%)", Buchungsjournal!$C:$C, 2)</f>
        <v>238.4</v>
      </c>
      <c r="E19" s="18">
        <f>SUMIFS(Buchungsjournal!$G:$G, Buchungsjournal!$F:$F, "Ausgabe", Buchungsjournal!$E:$E, "Wünsche (30%)", Buchungsjournal!$C:$C, 3)</f>
        <v>238.4</v>
      </c>
      <c r="F19" s="18">
        <f>SUMIFS(Buchungsjournal!$G:$G, Buchungsjournal!$F:$F, "Ausgabe", Buchungsjournal!$E:$E, "Wünsche (30%)", Buchungsjournal!$C:$C, 4)</f>
        <v>238.4</v>
      </c>
      <c r="G19" s="18">
        <f>SUMIFS(Buchungsjournal!$G:$G, Buchungsjournal!$F:$F, "Ausgabe", Buchungsjournal!$E:$E, "Wünsche (30%)", Buchungsjournal!$C:$C, 5)</f>
        <v>238.4</v>
      </c>
      <c r="H19" s="18">
        <f>SUMIFS(Buchungsjournal!$G:$G, Buchungsjournal!$F:$F, "Ausgabe", Buchungsjournal!$E:$E, "Wünsche (30%)", Buchungsjournal!$C:$C, 6)</f>
        <v>238.4</v>
      </c>
      <c r="I19" s="18">
        <f>SUMIFS(Buchungsjournal!$G:$G, Buchungsjournal!$F:$F, "Ausgabe", Buchungsjournal!$E:$E, "Wünsche (30%)", Buchungsjournal!$C:$C, 7)</f>
        <v>688.4</v>
      </c>
      <c r="J19" s="18">
        <f>SUMIFS(Buchungsjournal!$G:$G, Buchungsjournal!$F:$F, "Ausgabe", Buchungsjournal!$E:$E, "Wünsche (30%)", Buchungsjournal!$C:$C, 8)</f>
        <v>238.4</v>
      </c>
      <c r="K19" s="18">
        <f>SUMIFS(Buchungsjournal!$G:$G, Buchungsjournal!$F:$F, "Ausgabe", Buchungsjournal!$E:$E, "Wünsche (30%)", Buchungsjournal!$C:$C, 9)</f>
        <v>238.4</v>
      </c>
      <c r="L19" s="18">
        <f>SUMIFS(Buchungsjournal!$G:$G, Buchungsjournal!$F:$F, "Ausgabe", Buchungsjournal!$E:$E, "Wünsche (30%)", Buchungsjournal!$C:$C, 10)</f>
        <v>238.4</v>
      </c>
      <c r="M19" s="18">
        <f>SUMIFS(Buchungsjournal!$G:$G, Buchungsjournal!$F:$F, "Ausgabe", Buchungsjournal!$E:$E, "Wünsche (30%)", Buchungsjournal!$C:$C, 11)</f>
        <v>238.4</v>
      </c>
      <c r="N19" s="18">
        <f>SUMIFS(Buchungsjournal!$G:$G, Buchungsjournal!$F:$F, "Ausgabe", Buchungsjournal!$E:$E, "Wünsche (30%)", Buchungsjournal!$C:$C, 12)</f>
        <v>238.4</v>
      </c>
      <c r="O19" s="19">
        <f>SUM(C19:N19)</f>
        <v>3310.8</v>
      </c>
      <c r="P19" s="18">
        <f>AVERAGE(C19:N19)</f>
        <v>275.9</v>
      </c>
    </row>
    <row r="20" ht="20" customHeight="1">
      <c r="A20" s="46" t="inlineStr"/>
      <c r="B20" s="45" t="inlineStr">
        <is>
          <t>Sparen &amp; Tilgen Variabel (Sondertilgung, Sonderinvest)</t>
        </is>
      </c>
      <c r="C20" s="18">
        <f>SUMIFS(Buchungsjournal!$G:$G, Buchungsjournal!$F:$F, "Ausgabe", Buchungsjournal!$E:$E, "Sparen &amp; Tilgen (20%)", Buchungsjournal!$C:$C, 1)</f>
        <v>0</v>
      </c>
      <c r="D20" s="18">
        <f>SUMIFS(Buchungsjournal!$G:$G, Buchungsjournal!$F:$F, "Ausgabe", Buchungsjournal!$E:$E, "Sparen &amp; Tilgen (20%)", Buchungsjournal!$C:$C, 2)</f>
        <v>0</v>
      </c>
      <c r="E20" s="18">
        <f>SUMIFS(Buchungsjournal!$G:$G, Buchungsjournal!$F:$F, "Ausgabe", Buchungsjournal!$E:$E, "Sparen &amp; Tilgen (20%)", Buchungsjournal!$C:$C, 3)</f>
        <v>0</v>
      </c>
      <c r="F20" s="18">
        <f>SUMIFS(Buchungsjournal!$G:$G, Buchungsjournal!$F:$F, "Ausgabe", Buchungsjournal!$E:$E, "Sparen &amp; Tilgen (20%)", Buchungsjournal!$C:$C, 4)</f>
        <v>0</v>
      </c>
      <c r="G20" s="18">
        <f>SUMIFS(Buchungsjournal!$G:$G, Buchungsjournal!$F:$F, "Ausgabe", Buchungsjournal!$E:$E, "Sparen &amp; Tilgen (20%)", Buchungsjournal!$C:$C, 5)</f>
        <v>0</v>
      </c>
      <c r="H20" s="18">
        <f>SUMIFS(Buchungsjournal!$G:$G, Buchungsjournal!$F:$F, "Ausgabe", Buchungsjournal!$E:$E, "Sparen &amp; Tilgen (20%)", Buchungsjournal!$C:$C, 6)</f>
        <v>0</v>
      </c>
      <c r="I20" s="18">
        <f>SUMIFS(Buchungsjournal!$G:$G, Buchungsjournal!$F:$F, "Ausgabe", Buchungsjournal!$E:$E, "Sparen &amp; Tilgen (20%)", Buchungsjournal!$C:$C, 7)</f>
        <v>0</v>
      </c>
      <c r="J20" s="18">
        <f>SUMIFS(Buchungsjournal!$G:$G, Buchungsjournal!$F:$F, "Ausgabe", Buchungsjournal!$E:$E, "Sparen &amp; Tilgen (20%)", Buchungsjournal!$C:$C, 8)</f>
        <v>0</v>
      </c>
      <c r="K20" s="18">
        <f>SUMIFS(Buchungsjournal!$G:$G, Buchungsjournal!$F:$F, "Ausgabe", Buchungsjournal!$E:$E, "Sparen &amp; Tilgen (20%)", Buchungsjournal!$C:$C, 9)</f>
        <v>0</v>
      </c>
      <c r="L20" s="18">
        <f>SUMIFS(Buchungsjournal!$G:$G, Buchungsjournal!$F:$F, "Ausgabe", Buchungsjournal!$E:$E, "Sparen &amp; Tilgen (20%)", Buchungsjournal!$C:$C, 10)</f>
        <v>0</v>
      </c>
      <c r="M20" s="18">
        <f>SUMIFS(Buchungsjournal!$G:$G, Buchungsjournal!$F:$F, "Ausgabe", Buchungsjournal!$E:$E, "Sparen &amp; Tilgen (20%)", Buchungsjournal!$C:$C, 11)</f>
        <v>0</v>
      </c>
      <c r="N20" s="18">
        <f>SUMIFS(Buchungsjournal!$G:$G, Buchungsjournal!$F:$F, "Ausgabe", Buchungsjournal!$E:$E, "Sparen &amp; Tilgen (20%)", Buchungsjournal!$C:$C, 12)</f>
        <v>0</v>
      </c>
      <c r="O20" s="19">
        <f>SUM(C20:N20)</f>
        <v>0</v>
      </c>
      <c r="P20" s="18">
        <f>AVERAGE(C20:N20)</f>
        <v>0</v>
      </c>
    </row>
    <row r="21" ht="24" customHeight="1">
      <c r="A21" s="47" t="inlineStr">
        <is>
          <t>GESAMT VARIABLE AUSGABEN</t>
        </is>
      </c>
      <c r="B21" s="47" t="inlineStr">
        <is>
          <t>Summe aller flexiblen Monatsausgaben</t>
        </is>
      </c>
      <c r="C21" s="30">
        <f>SUM(C18:C20)</f>
        <v>779.4</v>
      </c>
      <c r="D21" s="30">
        <f>SUM(D18:D20)</f>
        <v>779.4</v>
      </c>
      <c r="E21" s="30">
        <f>SUM(E18:E20)</f>
        <v>779.4</v>
      </c>
      <c r="F21" s="30">
        <f>SUM(F18:F20)</f>
        <v>779.4</v>
      </c>
      <c r="G21" s="30">
        <f>SUM(G18:G20)</f>
        <v>779.4</v>
      </c>
      <c r="H21" s="30">
        <f>SUM(H18:H20)</f>
        <v>779.4</v>
      </c>
      <c r="I21" s="30">
        <f>SUM(I18:I20)</f>
        <v>1229.4</v>
      </c>
      <c r="J21" s="30">
        <f>SUM(J18:J20)</f>
        <v>779.4</v>
      </c>
      <c r="K21" s="30">
        <f>SUM(K18:K20)</f>
        <v>779.4</v>
      </c>
      <c r="L21" s="30">
        <f>SUM(L18:L20)</f>
        <v>779.4</v>
      </c>
      <c r="M21" s="30">
        <f>SUM(M18:M20)</f>
        <v>779.4</v>
      </c>
      <c r="N21" s="30">
        <f>SUM(N18:N20)</f>
        <v>779.4</v>
      </c>
      <c r="O21" s="30">
        <f>SUM(O18:O20)</f>
        <v>9802.8</v>
      </c>
      <c r="P21" s="30">
        <f>AVERAGE(C21:N21)</f>
        <v>816.9</v>
      </c>
    </row>
    <row r="22" ht="24" customHeight="1">
      <c r="A22" s="48" t="inlineStr">
        <is>
          <t>GESAMTAUSGABEN</t>
        </is>
      </c>
      <c r="B22" s="48" t="inlineStr">
        <is>
          <t>Fixkosten + Variable Ausgaben</t>
        </is>
      </c>
      <c r="C22" s="49">
        <f>C16+C21</f>
        <v>2761.83</v>
      </c>
      <c r="D22" s="49">
        <f>D16+D21</f>
        <v>2761.83</v>
      </c>
      <c r="E22" s="49">
        <f>E16+E21</f>
        <v>2761.83</v>
      </c>
      <c r="F22" s="49">
        <f>F16+F21</f>
        <v>2761.83</v>
      </c>
      <c r="G22" s="49">
        <f>G16+G21</f>
        <v>2761.83</v>
      </c>
      <c r="H22" s="49">
        <f>H16+H21</f>
        <v>2761.83</v>
      </c>
      <c r="I22" s="49">
        <f>I16+I21</f>
        <v>3211.83</v>
      </c>
      <c r="J22" s="49">
        <f>J16+J21</f>
        <v>2761.83</v>
      </c>
      <c r="K22" s="49">
        <f>K16+K21</f>
        <v>2761.83</v>
      </c>
      <c r="L22" s="49">
        <f>L16+L21</f>
        <v>2761.83</v>
      </c>
      <c r="M22" s="49">
        <f>M16+M21</f>
        <v>2761.83</v>
      </c>
      <c r="N22" s="49">
        <f>N16+N21</f>
        <v>2761.83</v>
      </c>
      <c r="O22" s="49">
        <f>O16+O21</f>
        <v>33591.96</v>
      </c>
      <c r="P22" s="49">
        <f>AVERAGE(C22:N22)</f>
        <v>2799.33</v>
      </c>
    </row>
    <row r="23" ht="10" customHeight="1"/>
    <row r="24" ht="26" customHeight="1">
      <c r="A24" s="50" t="inlineStr">
        <is>
          <t>SALDO / FREIES BUDGET</t>
        </is>
      </c>
      <c r="B24" s="50" t="inlineStr">
        <is>
          <t>Einnahmen abzgl. Gesamtausgaben</t>
        </is>
      </c>
      <c r="C24" s="28">
        <f>C11-C22</f>
        <v>38.1700000000001</v>
      </c>
      <c r="D24" s="28">
        <f>D11-D22</f>
        <v>38.1700000000001</v>
      </c>
      <c r="E24" s="28">
        <f>E11-E22</f>
        <v>388.17</v>
      </c>
      <c r="F24" s="28">
        <f>F11-F22</f>
        <v>38.1700000000001</v>
      </c>
      <c r="G24" s="28">
        <f>G11-G22</f>
        <v>38.1700000000001</v>
      </c>
      <c r="H24" s="28">
        <f>H11-H22</f>
        <v>438.17</v>
      </c>
      <c r="I24" s="28">
        <f>I11-I22</f>
        <v>-411.83</v>
      </c>
      <c r="J24" s="28">
        <f>J11-J22</f>
        <v>38.1700000000001</v>
      </c>
      <c r="K24" s="28">
        <f>K11-K22</f>
        <v>388.17</v>
      </c>
      <c r="L24" s="28">
        <f>L11-L22</f>
        <v>38.1700000000001</v>
      </c>
      <c r="M24" s="28">
        <f>M11-M22</f>
        <v>38.1700000000001</v>
      </c>
      <c r="N24" s="28">
        <f>N11-N22</f>
        <v>438.17</v>
      </c>
      <c r="O24" s="28">
        <f>O11-O22</f>
        <v>1508.04</v>
      </c>
      <c r="P24" s="28">
        <f>AVERAGE(C24:N24)</f>
        <v>125.67</v>
      </c>
    </row>
    <row r="25" ht="24" customHeight="1">
      <c r="A25" s="51" t="inlineStr">
        <is>
          <t>SPARQUOTE (%)</t>
        </is>
      </c>
      <c r="B25" s="51" t="inlineStr">
        <is>
          <t>Freies Budget / Einnahmen (Destatis: 10-11%, Ziel: 15-20%)</t>
        </is>
      </c>
      <c r="C25" s="52">
        <f>IF(C11&gt;0,C24/C11,0)</f>
        <v>0.0136321428571429</v>
      </c>
      <c r="D25" s="52">
        <f>IF(D11&gt;0,D24/D11,0)</f>
        <v>0.0136321428571429</v>
      </c>
      <c r="E25" s="52">
        <f>IF(E11&gt;0,E24/E11,0)</f>
        <v>0.123228571428571</v>
      </c>
      <c r="F25" s="52">
        <f>IF(F11&gt;0,F24/F11,0)</f>
        <v>0.0136321428571429</v>
      </c>
      <c r="G25" s="52">
        <f>IF(G11&gt;0,G24/G11,0)</f>
        <v>0.0136321428571429</v>
      </c>
      <c r="H25" s="52">
        <f>IF(H11&gt;0,H24/H11,0)</f>
        <v>0.136928125</v>
      </c>
      <c r="I25" s="52">
        <f>IF(I11&gt;0,I24/I11,0)</f>
        <v>-0.147082142857143</v>
      </c>
      <c r="J25" s="52">
        <f>IF(J11&gt;0,J24/J11,0)</f>
        <v>0.0136321428571429</v>
      </c>
      <c r="K25" s="52">
        <f>IF(K11&gt;0,K24/K11,0)</f>
        <v>0.123228571428571</v>
      </c>
      <c r="L25" s="52">
        <f>IF(L11&gt;0,L24/L11,0)</f>
        <v>0.0136321428571429</v>
      </c>
      <c r="M25" s="52">
        <f>IF(M11&gt;0,M24/M11,0)</f>
        <v>0.0136321428571429</v>
      </c>
      <c r="N25" s="52">
        <f>IF(N11&gt;0,N24/N11,0)</f>
        <v>0.136928125</v>
      </c>
      <c r="O25" s="52">
        <f>IF(O11&gt;0,O24/O11,0)</f>
        <v>0.0429641025641026</v>
      </c>
      <c r="P25" s="52">
        <f>IF(P11&gt;0,P24/P11,0)</f>
        <v>0.0429641025641026</v>
      </c>
    </row>
    <row r="26" ht="24" customHeight="1">
      <c r="A26" s="47" t="inlineStr">
        <is>
          <t>KUMULIERTER SALDO</t>
        </is>
      </c>
      <c r="B26" s="47" t="inlineStr">
        <is>
          <t>Fortlaufender Notgroschen- &amp; Vermögensaufbau</t>
        </is>
      </c>
      <c r="C26" s="30">
        <f>C24</f>
        <v>38.1700000000001</v>
      </c>
      <c r="D26" s="30">
        <f>C26+D24</f>
        <v>76.3400000000002</v>
      </c>
      <c r="E26" s="30">
        <f>D26+E24</f>
        <v>464.51</v>
      </c>
      <c r="F26" s="30">
        <f>E26+F24</f>
        <v>502.68</v>
      </c>
      <c r="G26" s="30">
        <f>F26+G24</f>
        <v>540.85</v>
      </c>
      <c r="H26" s="30">
        <f>G26+H24</f>
        <v>979.02</v>
      </c>
      <c r="I26" s="30">
        <f>H26+I24</f>
        <v>567.190000000001</v>
      </c>
      <c r="J26" s="30">
        <f>I26+J24</f>
        <v>605.360000000001</v>
      </c>
      <c r="K26" s="30">
        <f>J26+K24</f>
        <v>993.530000000001</v>
      </c>
      <c r="L26" s="30">
        <f>K26+L24</f>
        <v>1031.7</v>
      </c>
      <c r="M26" s="30">
        <f>L26+M24</f>
        <v>1069.87</v>
      </c>
      <c r="N26" s="30">
        <f>M26+N24</f>
        <v>1508.04</v>
      </c>
      <c r="O26" s="30">
        <f>N26</f>
        <v>1508.04</v>
      </c>
      <c r="P26" s="30">
        <f>AVERAGE(C26:N26)</f>
        <v>698.105000000001</v>
      </c>
    </row>
  </sheetData>
  <mergeCells count="2">
    <mergeCell ref="A1:P1"/>
    <mergeCell ref="A2:P2"/>
  </mergeCells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tabColor rgb="000284C7"/>
    <outlinePr summaryBelow="1" summaryRight="1"/>
    <pageSetUpPr/>
  </sheetPr>
  <dimension ref="A1:K26"/>
  <sheetViews>
    <sheetView showGridLines="1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46" customWidth="1" min="4" max="4"/>
    <col width="16" customWidth="1" min="5" max="5"/>
    <col width="16" customWidth="1" min="6" max="6"/>
    <col width="16" customWidth="1" min="7" max="7"/>
    <col width="15" customWidth="1" min="8" max="8"/>
    <col width="16" customWidth="1" min="9" max="9"/>
    <col width="18" customWidth="1" min="10" max="10"/>
    <col width="34" customWidth="1" min="11" max="11"/>
  </cols>
  <sheetData>
    <row r="1" ht="40" customHeight="1">
      <c r="A1" s="1" t="inlineStr">
        <is>
          <t>50-30-20 Budgetplan &amp; Sparquoten-Rechner</t>
        </is>
      </c>
    </row>
    <row r="2" ht="24" customHeight="1">
      <c r="A2" s="2" t="inlineStr">
        <is>
          <t>Strukturierung des monatlichen Nettoeinkommens: Grundbedarf (50%), Wünsche (30%), Sparen &amp; Tilgen (20%) | Soll-Ist-Abgleich</t>
        </is>
      </c>
    </row>
    <row r="3" ht="12" customHeight="1"/>
    <row r="4" ht="22" customHeight="1">
      <c r="A4" s="3" t="inlineStr">
        <is>
          <t>GRUNDLAGE: MONATLICHES NETTOEINKOMMEN</t>
        </is>
      </c>
    </row>
    <row r="5" ht="24" customHeight="1">
      <c r="A5" s="53" t="inlineStr">
        <is>
          <t>Monatliches Nettoeinkommen (€)</t>
        </is>
      </c>
      <c r="B5" s="54" t="n">
        <v>3000</v>
      </c>
      <c r="C5" s="55" t="inlineStr">
        <is>
          <t>&lt;- Editierbar (Referenzwert für Soll-Budget)</t>
        </is>
      </c>
      <c r="E5" s="56" t="inlineStr">
        <is>
          <t>Effektiver Monatsdurchschnitt (Ist aus Jahresübersicht):</t>
        </is>
      </c>
      <c r="F5" s="57">
        <f>Jahresübersicht!P11</f>
        <v>2925</v>
      </c>
    </row>
    <row r="6" ht="14" customHeight="1"/>
    <row r="7" ht="28" customHeight="1">
      <c r="A7" s="43" t="inlineStr">
        <is>
          <t>Budget-Kategorie</t>
        </is>
      </c>
      <c r="B7" s="16" t="inlineStr">
        <is>
          <t>Soll-Anteil (%)</t>
        </is>
      </c>
      <c r="C7" s="16" t="inlineStr">
        <is>
          <t>Soll-Budget (€)</t>
        </is>
      </c>
      <c r="D7" s="43" t="inlineStr">
        <is>
          <t>Typische Ausgabenposten (Inhalte lt. Ratgeber)</t>
        </is>
      </c>
      <c r="E7" s="16" t="inlineStr">
        <is>
          <t>Ist Fixkosten (€/M)</t>
        </is>
      </c>
      <c r="F7" s="16" t="inlineStr">
        <is>
          <t>Ist Variabel (€/M)</t>
        </is>
      </c>
      <c r="G7" s="16" t="inlineStr">
        <is>
          <t>Ist Gesamt (€/M)</t>
        </is>
      </c>
      <c r="H7" s="16" t="inlineStr">
        <is>
          <t>Ist-Anteil (%)</t>
        </is>
      </c>
      <c r="I7" s="16" t="inlineStr">
        <is>
          <t>Differenz (€)</t>
        </is>
      </c>
      <c r="J7" s="16" t="inlineStr">
        <is>
          <t>Budget-Auslastung</t>
        </is>
      </c>
      <c r="K7" s="16" t="inlineStr">
        <is>
          <t>Status &amp; Handlungsempfehlung</t>
        </is>
      </c>
    </row>
    <row r="8" ht="24" customHeight="1">
      <c r="A8" s="58" t="inlineStr">
        <is>
          <t>1 · GRUNDBEDARF</t>
        </is>
      </c>
      <c r="B8" s="59" t="n">
        <v>0.5</v>
      </c>
      <c r="C8" s="60">
        <f>B8*$B$5</f>
        <v>1500</v>
      </c>
      <c r="D8" s="61" t="inlineStr">
        <is>
          <t>Miete, Nebenkosten, Strom, Lebensmittel, Drogerie, Pflichtversicherungen, ÖPNV/Mobilität</t>
        </is>
      </c>
      <c r="E8" s="62">
        <f>Jahresübersicht!P13</f>
        <v>1293.31</v>
      </c>
      <c r="F8" s="62">
        <f>Jahresübersicht!P18</f>
        <v>541</v>
      </c>
      <c r="G8" s="60">
        <f>E8+F8</f>
        <v>1834.31</v>
      </c>
      <c r="H8" s="59">
        <f>IF($B$5&gt;0,G8/$B$5,0)</f>
        <v>0.611436666666667</v>
      </c>
      <c r="I8" s="60">
        <f>C8-G8</f>
        <v>-334.31</v>
      </c>
      <c r="J8" s="63">
        <f>IF(C8&gt;0,G8/C8,0)</f>
        <v>1.22287333333333</v>
      </c>
      <c r="K8" s="64" t="str">
        <f>IF(H8&lt;=0.5,"Im Plan (≤ 50%)","Überzogen! Fixkosten prüfen")</f>
        <v>Überzogen! Fixkosten prüfen</v>
      </c>
    </row>
    <row r="9" ht="19" customHeight="1">
      <c r="A9" s="65" t="inlineStr">
        <is>
          <t xml:space="preserve">   - Wohnen &amp; Nebenkosten</t>
        </is>
      </c>
      <c r="B9" s="46" t="n"/>
      <c r="C9" s="46" t="n"/>
      <c r="D9" s="65" t="inlineStr">
        <is>
          <t>Miete, Heizung, Wasser, Hausgeld, Grundabgaben</t>
        </is>
      </c>
      <c r="E9" s="46" t="n"/>
      <c r="F9" s="46" t="n"/>
      <c r="G9" s="66">
        <f>SUMIF(Fixkosten!$D:$D, "Wohnen", Fixkosten!$J:$J)</f>
        <v>968.36</v>
      </c>
      <c r="H9" s="46" t="n"/>
      <c r="I9" s="46" t="n"/>
      <c r="J9" s="46" t="n"/>
      <c r="K9" s="46" t="n"/>
    </row>
    <row r="10" ht="19" customHeight="1">
      <c r="A10" s="65" t="inlineStr">
        <is>
          <t xml:space="preserve">   - Energie &amp; Telekommunikation</t>
        </is>
      </c>
      <c r="B10" s="46" t="n"/>
      <c r="C10" s="46" t="n"/>
      <c r="D10" s="65" t="inlineStr">
        <is>
          <t>Strom, Gas, Internet, Festnetz, Mobilfunk</t>
        </is>
      </c>
      <c r="E10" s="46" t="n"/>
      <c r="F10" s="46" t="n"/>
      <c r="G10" s="66">
        <f>SUMIF(Fixkosten!$D:$D, "Strom &amp; Gas", Fixkosten!$J:$J)+SUMIF(Fixkosten!$D:$D, "Internet &amp; Mobilfunk", Fixkosten!$J:$J)</f>
        <v>144.95</v>
      </c>
      <c r="H10" s="46" t="n"/>
      <c r="I10" s="46" t="n"/>
      <c r="J10" s="46" t="n"/>
      <c r="K10" s="46" t="n"/>
    </row>
    <row r="11" ht="19" customHeight="1">
      <c r="A11" s="65" t="inlineStr">
        <is>
          <t xml:space="preserve">   - Ernährung &amp; Drogerie</t>
        </is>
      </c>
      <c r="B11" s="46" t="n"/>
      <c r="C11" s="46" t="n"/>
      <c r="D11" s="65" t="inlineStr">
        <is>
          <t>Wocheneinkäufe Supermarkt, Drogerieartikel</t>
        </is>
      </c>
      <c r="E11" s="46" t="n"/>
      <c r="F11" s="46" t="n"/>
      <c r="G11" s="66">
        <f>AVERAGEIFS(Buchungsjournal!$G:$G, Buchungsjournal!$D:$D, "Lebensmittel &amp; Haushalt", Buchungsjournal!$F:$F, "Ausgabe")</f>
        <v>105.875</v>
      </c>
      <c r="H11" s="46" t="n"/>
      <c r="I11" s="46" t="n"/>
      <c r="J11" s="46" t="n"/>
      <c r="K11" s="46" t="n"/>
    </row>
    <row r="12" ht="24" customHeight="1">
      <c r="A12" s="58" t="inlineStr">
        <is>
          <t>2 · WÜNSCHE</t>
        </is>
      </c>
      <c r="B12" s="59" t="n">
        <v>0.3</v>
      </c>
      <c r="C12" s="60">
        <f>B12*$B$5</f>
        <v>900</v>
      </c>
      <c r="D12" s="61" t="inlineStr">
        <is>
          <t>Freizeit, Hobbys, Urlaub, Reisen, Restaurant, Ausgehen, Shopping, Streaming-Abos</t>
        </is>
      </c>
      <c r="E12" s="62">
        <f>Jahresübersicht!P14</f>
        <v>89.12</v>
      </c>
      <c r="F12" s="62">
        <f>Jahresübersicht!P19</f>
        <v>275.9</v>
      </c>
      <c r="G12" s="60">
        <f>E12+F12</f>
        <v>365.02</v>
      </c>
      <c r="H12" s="59">
        <f>IF($B$5&gt;0,G12/$B$5,0)</f>
        <v>0.121673333333333</v>
      </c>
      <c r="I12" s="60">
        <f>C12-G12</f>
        <v>534.98</v>
      </c>
      <c r="J12" s="63">
        <f>IF(C12&gt;0,G12/C12,0)</f>
        <v>0.405577777777778</v>
      </c>
      <c r="K12" s="64" t="str">
        <f>IF(H12&lt;=0.3,"Im Plan (≤ 30%)","Überzogen! Konsum einschränken")</f>
        <v>Im Plan (≤ 30%)</v>
      </c>
    </row>
    <row r="13" ht="19" customHeight="1">
      <c r="A13" s="65" t="inlineStr">
        <is>
          <t xml:space="preserve">   - Restaurant &amp; Lieferdienste</t>
        </is>
      </c>
      <c r="B13" s="46" t="n"/>
      <c r="C13" s="46" t="n"/>
      <c r="D13" s="65" t="inlineStr">
        <is>
          <t>Essen gehen, Bars, Cafés, Bestelldienste</t>
        </is>
      </c>
      <c r="E13" s="46" t="n"/>
      <c r="F13" s="46" t="n"/>
      <c r="G13" s="66">
        <f>AVERAGEIFS(Buchungsjournal!$G:$G, Buchungsjournal!$D:$D, "Restaurant &amp; Ausgehen", Buchungsjournal!$F:$F, "Ausgabe")</f>
        <v>56.75</v>
      </c>
      <c r="H13" s="46" t="n"/>
      <c r="I13" s="46" t="n"/>
      <c r="J13" s="46" t="n"/>
      <c r="K13" s="46" t="n"/>
    </row>
    <row r="14" ht="19" customHeight="1">
      <c r="A14" s="65" t="inlineStr">
        <is>
          <t xml:space="preserve">   - Hobbys, Kultur &amp; Sport</t>
        </is>
      </c>
      <c r="B14" s="46" t="n"/>
      <c r="C14" s="46" t="n"/>
      <c r="D14" s="65" t="inlineStr">
        <is>
          <t>Fitnessstudio, Sportverein, Konzerte, Kino</t>
        </is>
      </c>
      <c r="E14" s="46" t="n"/>
      <c r="F14" s="46" t="n"/>
      <c r="G14" s="66">
        <f>SUMIF(Fixkosten!$D:$D, "Sport &amp; Fitness", Fixkosten!$J:$J)+AVERAGEIFS(Buchungsjournal!$G:$G, Buchungsjournal!$D:$D, "Freizeit &amp; Hobbys", Buchungsjournal!$F:$F, "Ausgabe")</f>
        <v>74.9</v>
      </c>
      <c r="H14" s="46" t="n"/>
      <c r="I14" s="46" t="n"/>
      <c r="J14" s="46" t="n"/>
      <c r="K14" s="46" t="n"/>
    </row>
    <row r="15" ht="19" customHeight="1">
      <c r="A15" s="65" t="inlineStr">
        <is>
          <t xml:space="preserve">   - Abonnements &amp; Medien</t>
        </is>
      </c>
      <c r="B15" s="46" t="n"/>
      <c r="C15" s="46" t="n"/>
      <c r="D15" s="65" t="inlineStr">
        <is>
          <t>Netflix, Spotify, Prime, Zeitschriften</t>
        </is>
      </c>
      <c r="E15" s="46" t="n"/>
      <c r="F15" s="46" t="n"/>
      <c r="G15" s="66">
        <f>SUMIF(Fixkosten!$D:$D, "Streaming &amp; Medien", Fixkosten!$J:$J)</f>
        <v>49.22</v>
      </c>
      <c r="H15" s="46" t="n"/>
      <c r="I15" s="46" t="n"/>
      <c r="J15" s="46" t="n"/>
      <c r="K15" s="46" t="n"/>
    </row>
    <row r="16" ht="24" customHeight="1">
      <c r="A16" s="58" t="inlineStr">
        <is>
          <t>3 · SPAREN UND TILGEN</t>
        </is>
      </c>
      <c r="B16" s="59" t="n">
        <v>0.2</v>
      </c>
      <c r="C16" s="60">
        <f>B16*$B$5</f>
        <v>600</v>
      </c>
      <c r="D16" s="61" t="inlineStr">
        <is>
          <t>Notgroschen auf Tagesgeld, ETF-Sparpläne, Altersvorsorge, Sondertilgung, Kredite</t>
        </is>
      </c>
      <c r="E16" s="62">
        <f>Jahresübersicht!P15</f>
        <v>600</v>
      </c>
      <c r="F16" s="62">
        <f>Jahresübersicht!P20</f>
        <v>0</v>
      </c>
      <c r="G16" s="60">
        <f>E16+F16</f>
        <v>600</v>
      </c>
      <c r="H16" s="59">
        <f>IF($B$5&gt;0,G16/$B$5,0)</f>
        <v>0.2</v>
      </c>
      <c r="I16" s="60">
        <f>G16-C16</f>
        <v>0</v>
      </c>
      <c r="J16" s="63">
        <f>IF(C16&gt;0,G16/C16,0)</f>
        <v>1</v>
      </c>
      <c r="K16" s="64" t="str">
        <f>IF(H16&gt;=0.2,"Ziel erreicht (≥ 20%)","Sparpotenzial heben (&lt; 20%)")</f>
        <v>Ziel erreicht (≥ 20%)</v>
      </c>
    </row>
    <row r="17" ht="19" customHeight="1">
      <c r="A17" s="65" t="inlineStr">
        <is>
          <t xml:space="preserve">   - ETF &amp; Wertpapier-Sparpläne</t>
        </is>
      </c>
      <c r="B17" s="46" t="n"/>
      <c r="C17" s="46" t="n"/>
      <c r="D17" s="65" t="inlineStr">
        <is>
          <t>Weltweite Aktien-ETFs (MSCI World, All-World) zum Vermögensaufbau</t>
        </is>
      </c>
      <c r="E17" s="46" t="n"/>
      <c r="F17" s="46" t="n"/>
      <c r="G17" s="66">
        <f>SUMIF(Fixkosten!$D:$D, "ETF &amp; Wertpapiere", Fixkosten!$J:$J)</f>
        <v>350</v>
      </c>
      <c r="H17" s="46" t="n"/>
      <c r="I17" s="46" t="n"/>
      <c r="J17" s="46" t="n"/>
      <c r="K17" s="46" t="n"/>
    </row>
    <row r="18" ht="19" customHeight="1">
      <c r="A18" s="65" t="inlineStr">
        <is>
          <t xml:space="preserve">   - Notgroschen &amp; Tagesgeld</t>
        </is>
      </c>
      <c r="B18" s="46" t="n"/>
      <c r="C18" s="46" t="n"/>
      <c r="D18" s="65" t="inlineStr">
        <is>
          <t>Liquide Rücklage auf Tagesgeldkonto für Notfälle</t>
        </is>
      </c>
      <c r="E18" s="46" t="n"/>
      <c r="F18" s="46" t="n"/>
      <c r="G18" s="66">
        <f>SUMIF(Fixkosten!$D:$D, "Tagesgeld &amp; Rücklagen", Fixkosten!$J:$J)</f>
        <v>150</v>
      </c>
      <c r="H18" s="46" t="n"/>
      <c r="I18" s="46" t="n"/>
      <c r="J18" s="46" t="n"/>
      <c r="K18" s="46" t="n"/>
    </row>
    <row r="19" ht="19" customHeight="1">
      <c r="A19" s="65" t="inlineStr">
        <is>
          <t xml:space="preserve">   - Kreditrückzahlung &amp; Tilgung</t>
        </is>
      </c>
      <c r="B19" s="46" t="n"/>
      <c r="C19" s="46" t="n"/>
      <c r="D19" s="65" t="inlineStr">
        <is>
          <t>Annuitätendarlehen, Ratenkredite (Schuldenabbau)</t>
        </is>
      </c>
      <c r="E19" s="46" t="n"/>
      <c r="F19" s="46" t="n"/>
      <c r="G19" s="66">
        <f>SUMIF(Fixkosten!$D:$D, "Kredittilgung", Fixkosten!$J:$J)</f>
        <v>100</v>
      </c>
      <c r="H19" s="46" t="n"/>
      <c r="I19" s="46" t="n"/>
      <c r="J19" s="46" t="n"/>
      <c r="K19" s="46" t="n"/>
    </row>
    <row r="20" ht="26" customHeight="1">
      <c r="A20" s="47" t="inlineStr">
        <is>
          <t>GESAMTSUMME VERTEILUNG</t>
        </is>
      </c>
      <c r="B20" s="23">
        <f>SUM(B8,B12,B16)</f>
        <v>1</v>
      </c>
      <c r="C20" s="30">
        <f>SUM(C8,C12,C16)</f>
        <v>3000</v>
      </c>
      <c r="D20" s="47" t="inlineStr">
        <is>
          <t>Gesamtes monatliches Nettoeinkommen = 100% verteilt</t>
        </is>
      </c>
      <c r="E20" s="30">
        <f>SUM(E8,E12,E16)</f>
        <v>1982.43</v>
      </c>
      <c r="F20" s="30">
        <f>SUM(F8,F12,F16)</f>
        <v>816.9</v>
      </c>
      <c r="G20" s="30">
        <f>SUM(G8,G12,G16)</f>
        <v>2799.33</v>
      </c>
      <c r="H20" s="23">
        <f>SUM(H8,H12,H16)</f>
        <v>0.93311</v>
      </c>
      <c r="I20" s="30">
        <f>SUM(I8,I12,I16)</f>
        <v>200.67</v>
      </c>
      <c r="J20" s="23">
        <f>IF(C20&gt;0,G20/C20,0)</f>
        <v>0.93311</v>
      </c>
      <c r="K20" s="24" t="str">
        <f>IF(ROUND(H20,2)&lt;=1,"Budget ausgeglichen","Ausgaben übersteigen Einkommen!")</f>
        <v>Budget ausgeglichen</v>
      </c>
    </row>
    <row r="22" ht="24" customHeight="1">
      <c r="A22" s="3" t="inlineStr">
        <is>
          <t>DESTATIS SPARQUOTEN-BENCHMARK &amp; VERGLEICHSANALYSE</t>
        </is>
      </c>
    </row>
    <row r="23" ht="20" customHeight="1">
      <c r="A23" s="45" t="inlineStr">
        <is>
          <t>Durchschnittliche Sparquote Deutschland (Destatis)</t>
        </is>
      </c>
      <c r="B23" s="67" t="inlineStr">
        <is>
          <t>10.5%</t>
        </is>
      </c>
      <c r="C23" s="65" t="inlineStr">
        <is>
          <t>Statistisches Bundesamt: Sparquote privater Haushalte ca. 10-11%</t>
        </is>
      </c>
      <c r="D23" s="71" t="n"/>
      <c r="E23" s="71" t="n"/>
      <c r="F23" s="71" t="n"/>
      <c r="G23" s="71" t="n"/>
      <c r="H23" s="71" t="n"/>
      <c r="I23" s="71" t="n"/>
      <c r="J23" s="71" t="n"/>
      <c r="K23" s="72" t="n"/>
    </row>
    <row r="24" ht="20" customHeight="1">
      <c r="A24" s="45" t="inlineStr">
        <is>
          <t>Empfohlene Sparquote für Vermögensaufbau</t>
        </is>
      </c>
      <c r="B24" s="67" t="inlineStr">
        <is>
          <t>15.0% - 20.0%</t>
        </is>
      </c>
      <c r="C24" s="65" t="inlineStr">
        <is>
          <t>Finanzexperten-Richtwert für Altersvorsorge und finanzielle Freiheit</t>
        </is>
      </c>
      <c r="D24" s="71" t="n"/>
      <c r="E24" s="71" t="n"/>
      <c r="F24" s="71" t="n"/>
      <c r="G24" s="71" t="n"/>
      <c r="H24" s="71" t="n"/>
      <c r="I24" s="71" t="n"/>
      <c r="J24" s="71" t="n"/>
      <c r="K24" s="72" t="n"/>
    </row>
    <row r="25" ht="20" customHeight="1">
      <c r="A25" s="68" t="inlineStr">
        <is>
          <t>Ihre persönliche Ist-Sparquote 2026</t>
        </is>
      </c>
      <c r="B25" s="69">
        <f>Jahresübersicht!O25</f>
        <v>0.0429641025641026</v>
      </c>
      <c r="C25" s="65" t="inlineStr">
        <is>
          <t>Berechnung: Sparbetrag / Nettoeinkommen (Gesamtjahr 2026)</t>
        </is>
      </c>
      <c r="D25" s="71" t="n"/>
      <c r="E25" s="71" t="n"/>
      <c r="F25" s="71" t="n"/>
      <c r="G25" s="71" t="n"/>
      <c r="H25" s="71" t="n"/>
      <c r="I25" s="71" t="n"/>
      <c r="J25" s="71" t="n"/>
      <c r="K25" s="72" t="n"/>
    </row>
    <row r="26" ht="20" customHeight="1">
      <c r="A26" s="68" t="inlineStr">
        <is>
          <t>Bewertung &amp; Status Ihrer Sparquote</t>
        </is>
      </c>
      <c r="B26" s="70" t="str">
        <f>IF(B25&gt;=0.2,"Exzellent: Übertrifft das 20%-Ziel deutlich!",IF(B25&gt;=0.11,"Überdurchschnittlich: Besser als der deutsche Bundesschnitt (10-11%)","Achtung: Sparquote liegt unter dem Bundesdurchschnitt"))</f>
        <v>Achtung: Sparquote liegt unter dem Bundesdurchschnitt</v>
      </c>
      <c r="C26" s="65" t="inlineStr">
        <is>
          <t>Automatisierte Statuseinschätzung</t>
        </is>
      </c>
      <c r="D26" s="71" t="n"/>
      <c r="E26" s="71" t="n"/>
      <c r="F26" s="71" t="n"/>
      <c r="G26" s="71" t="n"/>
      <c r="H26" s="71" t="n"/>
      <c r="I26" s="71" t="n"/>
      <c r="J26" s="71" t="n"/>
      <c r="K26" s="72" t="n"/>
    </row>
  </sheetData>
  <mergeCells count="6">
    <mergeCell ref="C24:K24"/>
    <mergeCell ref="C25:K25"/>
    <mergeCell ref="A2:K2"/>
    <mergeCell ref="C23:K23"/>
    <mergeCell ref="C26:K26"/>
    <mergeCell ref="A1:K1"/>
  </mergeCells>
  <pageMargins left="0.75" right="0.75" top="1" bottom="1" header="0.5" footer="0.5"/>
  <pageSetup orientation="landscape" paperSize="9"/>
</worksheet>
</file>

<file path=xl/worksheets/sheet4.xml><?xml version="1.0" encoding="utf-8"?>
<worksheet xmlns="http://schemas.openxmlformats.org/spreadsheetml/2006/main">
  <sheetPr>
    <tabColor rgb="000D9488"/>
    <outlinePr summaryBelow="1" summaryRight="1"/>
    <pageSetUpPr/>
  </sheetPr>
  <dimension ref="A1:K52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8" customWidth="1" min="3" max="3"/>
    <col width="22" customWidth="1" min="4" max="4"/>
    <col width="24" customWidth="1" min="5" max="5"/>
    <col width="20" customWidth="1" min="6" max="6"/>
    <col width="22" customWidth="1" min="7" max="7"/>
    <col width="20" customWidth="1" min="8" max="8"/>
    <col width="15" customWidth="1" min="9" max="9"/>
    <col width="22" customWidth="1" min="10" max="10"/>
    <col width="38" customWidth="1" min="11" max="11"/>
  </cols>
  <sheetData>
    <row r="1" ht="40" customHeight="1">
      <c r="A1" s="1" t="inlineStr">
        <is>
          <t>Fixkosten-Übersicht &amp; Monatsumlagen-Rechner 2026</t>
        </is>
      </c>
    </row>
    <row r="2" ht="24" customHeight="1">
      <c r="A2" s="2" t="inlineStr">
        <is>
          <t>Erfassung aller wiederkehrenden Zahlungen mit automatischer Monatsumlage (Betrag / Zahlungsintervall) | Alle Beträge in EUR (€)</t>
        </is>
      </c>
    </row>
    <row r="3" ht="12" customHeight="1"/>
    <row r="4" ht="26" customHeight="1">
      <c r="A4" s="16" t="inlineStr">
        <is>
          <t>Nr.</t>
        </is>
      </c>
      <c r="B4" s="43" t="inlineStr">
        <is>
          <t>Bezeichnung / Vertrag</t>
        </is>
      </c>
      <c r="C4" s="43" t="inlineStr">
        <is>
          <t>Vertragspartner / Anbieter</t>
        </is>
      </c>
      <c r="D4" s="43" t="inlineStr">
        <is>
          <t>Hauptkategorie</t>
        </is>
      </c>
      <c r="E4" s="43" t="inlineStr">
        <is>
          <t>Budget-Kategorie (50-30-20)</t>
        </is>
      </c>
      <c r="F4" s="16" t="inlineStr">
        <is>
          <t>Zahlungsweise (Intervall)</t>
        </is>
      </c>
      <c r="G4" s="16" t="inlineStr">
        <is>
          <t>Fälligkeit / Abbuchung</t>
        </is>
      </c>
      <c r="H4" s="43" t="inlineStr">
        <is>
          <t>Original-Zahlbetrag (€)</t>
        </is>
      </c>
      <c r="I4" s="16" t="inlineStr">
        <is>
          <t>Teiler (Monate)</t>
        </is>
      </c>
      <c r="J4" s="43" t="inlineStr">
        <is>
          <t>Monatliche Umlage (€/M)</t>
        </is>
      </c>
      <c r="K4" s="43" t="inlineStr">
        <is>
          <t>Notizen &amp; Kündigungsfrist</t>
        </is>
      </c>
    </row>
    <row r="5" ht="20" customHeight="1">
      <c r="A5" s="21" t="n">
        <v>1</v>
      </c>
      <c r="B5" s="45" t="inlineStr">
        <is>
          <t>Kaltmiete Wohnung</t>
        </is>
      </c>
      <c r="C5" s="45" t="inlineStr">
        <is>
          <t>Hausverwaltung Schmidt</t>
        </is>
      </c>
      <c r="D5" s="45" t="inlineStr">
        <is>
          <t>Wohnen</t>
        </is>
      </c>
      <c r="E5" s="45" t="inlineStr">
        <is>
          <t>Grundbedarf (50%)</t>
        </is>
      </c>
      <c r="F5" s="21" t="inlineStr">
        <is>
          <t>Monatlich</t>
        </is>
      </c>
      <c r="G5" s="21" t="inlineStr">
        <is>
          <t>01. des Monats</t>
        </is>
      </c>
      <c r="H5" s="25" t="n">
        <v>820</v>
      </c>
      <c r="I5" s="21" t="n">
        <v>1</v>
      </c>
      <c r="J5" s="19">
        <f>H5/I5</f>
        <v>820</v>
      </c>
      <c r="K5" s="45" t="inlineStr">
        <is>
          <t>Dauerauftrag</t>
        </is>
      </c>
    </row>
    <row r="6" ht="20" customHeight="1">
      <c r="A6" s="21" t="n">
        <v>2</v>
      </c>
      <c r="B6" s="45" t="inlineStr">
        <is>
          <t>Nebenkostenvorauszahlung</t>
        </is>
      </c>
      <c r="C6" s="45" t="inlineStr">
        <is>
          <t>Hausverwaltung Schmidt</t>
        </is>
      </c>
      <c r="D6" s="45" t="inlineStr">
        <is>
          <t>Wohnen</t>
        </is>
      </c>
      <c r="E6" s="45" t="inlineStr">
        <is>
          <t>Grundbedarf (50%)</t>
        </is>
      </c>
      <c r="F6" s="21" t="inlineStr">
        <is>
          <t>Monatlich</t>
        </is>
      </c>
      <c r="G6" s="21" t="inlineStr">
        <is>
          <t>01. des Monats</t>
        </is>
      </c>
      <c r="H6" s="25" t="n">
        <v>130</v>
      </c>
      <c r="I6" s="21" t="n">
        <v>1</v>
      </c>
      <c r="J6" s="19">
        <f>H6/I6</f>
        <v>130</v>
      </c>
      <c r="K6" s="45" t="inlineStr">
        <is>
          <t>Warmwasser, Heizung, Hausreinigung</t>
        </is>
      </c>
    </row>
    <row r="7" ht="20" customHeight="1">
      <c r="A7" s="21" t="n">
        <v>3</v>
      </c>
      <c r="B7" s="45" t="inlineStr">
        <is>
          <t>Ökostrom (Haushaltsstrom)</t>
        </is>
      </c>
      <c r="C7" s="45" t="inlineStr">
        <is>
          <t>Stadtwerke / Vattenfall</t>
        </is>
      </c>
      <c r="D7" s="45" t="inlineStr">
        <is>
          <t>Strom &amp; Gas</t>
        </is>
      </c>
      <c r="E7" s="45" t="inlineStr">
        <is>
          <t>Grundbedarf (50%)</t>
        </is>
      </c>
      <c r="F7" s="21" t="inlineStr">
        <is>
          <t>Monatlich</t>
        </is>
      </c>
      <c r="G7" s="21" t="inlineStr">
        <is>
          <t>15. des Monats</t>
        </is>
      </c>
      <c r="H7" s="25" t="n">
        <v>75</v>
      </c>
      <c r="I7" s="21" t="n">
        <v>1</v>
      </c>
      <c r="J7" s="19">
        <f>H7/I7</f>
        <v>75</v>
      </c>
      <c r="K7" s="45" t="inlineStr">
        <is>
          <t>Abschlag angepasst 2026</t>
        </is>
      </c>
    </row>
    <row r="8" ht="20" customHeight="1">
      <c r="A8" s="21" t="n">
        <v>4</v>
      </c>
      <c r="B8" s="45" t="inlineStr">
        <is>
          <t>Internet &amp; Festnetz (Glasfaser)</t>
        </is>
      </c>
      <c r="C8" s="45" t="inlineStr">
        <is>
          <t>Telekom Deutschland</t>
        </is>
      </c>
      <c r="D8" s="45" t="inlineStr">
        <is>
          <t>Internet &amp; Mobilfunk</t>
        </is>
      </c>
      <c r="E8" s="45" t="inlineStr">
        <is>
          <t>Grundbedarf (50%)</t>
        </is>
      </c>
      <c r="F8" s="21" t="inlineStr">
        <is>
          <t>Monatlich</t>
        </is>
      </c>
      <c r="G8" s="21" t="inlineStr">
        <is>
          <t>10. des Monats</t>
        </is>
      </c>
      <c r="H8" s="25" t="n">
        <v>44.95</v>
      </c>
      <c r="I8" s="21" t="n">
        <v>1</v>
      </c>
      <c r="J8" s="19">
        <f>H8/I8</f>
        <v>44.95</v>
      </c>
      <c r="K8" s="45" t="inlineStr">
        <is>
          <t>250 Mbit/s Flatrate</t>
        </is>
      </c>
    </row>
    <row r="9" ht="20" customHeight="1">
      <c r="A9" s="21" t="n">
        <v>5</v>
      </c>
      <c r="B9" s="45" t="inlineStr">
        <is>
          <t>Mobilfunkvertrag Allnet</t>
        </is>
      </c>
      <c r="C9" s="45" t="inlineStr">
        <is>
          <t>Vodafone / Congstar</t>
        </is>
      </c>
      <c r="D9" s="45" t="inlineStr">
        <is>
          <t>Internet &amp; Mobilfunk</t>
        </is>
      </c>
      <c r="E9" s="45" t="inlineStr">
        <is>
          <t>Grundbedarf (50%)</t>
        </is>
      </c>
      <c r="F9" s="21" t="inlineStr">
        <is>
          <t>Monatlich</t>
        </is>
      </c>
      <c r="G9" s="21" t="inlineStr">
        <is>
          <t>12. des Monats</t>
        </is>
      </c>
      <c r="H9" s="25" t="n">
        <v>25</v>
      </c>
      <c r="I9" s="21" t="n">
        <v>1</v>
      </c>
      <c r="J9" s="19">
        <f>H9/I9</f>
        <v>25</v>
      </c>
      <c r="K9" s="45" t="inlineStr">
        <is>
          <t>20 GB Datenvolumen</t>
        </is>
      </c>
    </row>
    <row r="10" ht="20" customHeight="1">
      <c r="A10" s="21" t="n">
        <v>6</v>
      </c>
      <c r="B10" s="45" t="inlineStr">
        <is>
          <t>GEZ / Rundfunkbeitrag</t>
        </is>
      </c>
      <c r="C10" s="45" t="inlineStr">
        <is>
          <t>Beitragsservice</t>
        </is>
      </c>
      <c r="D10" s="45" t="inlineStr">
        <is>
          <t>Wohnen</t>
        </is>
      </c>
      <c r="E10" s="45" t="inlineStr">
        <is>
          <t>Grundbedarf (50%)</t>
        </is>
      </c>
      <c r="F10" s="21" t="inlineStr">
        <is>
          <t>Vierteljährlich</t>
        </is>
      </c>
      <c r="G10" s="21" t="inlineStr">
        <is>
          <t>15. Feb/Mai/Aug/Nov</t>
        </is>
      </c>
      <c r="H10" s="25" t="n">
        <v>55.08</v>
      </c>
      <c r="I10" s="21" t="n">
        <v>3</v>
      </c>
      <c r="J10" s="19">
        <f>H10/I10</f>
        <v>18.36</v>
      </c>
      <c r="K10" s="45" t="inlineStr">
        <is>
          <t>Gesetzlicher Pflichtbeitrag (18,36 €/M)</t>
        </is>
      </c>
    </row>
    <row r="11" ht="20" customHeight="1">
      <c r="A11" s="21" t="n">
        <v>7</v>
      </c>
      <c r="B11" s="45" t="inlineStr">
        <is>
          <t>Privathaftpflichtversicherung</t>
        </is>
      </c>
      <c r="C11" s="45" t="inlineStr">
        <is>
          <t>HUK-Coburg</t>
        </is>
      </c>
      <c r="D11" s="45" t="inlineStr">
        <is>
          <t>Versicherungen</t>
        </is>
      </c>
      <c r="E11" s="45" t="inlineStr">
        <is>
          <t>Grundbedarf (50%)</t>
        </is>
      </c>
      <c r="F11" s="21" t="inlineStr">
        <is>
          <t>Jährlich</t>
        </is>
      </c>
      <c r="G11" s="21" t="inlineStr">
        <is>
          <t>02. Januar</t>
        </is>
      </c>
      <c r="H11" s="25" t="n">
        <v>72</v>
      </c>
      <c r="I11" s="21" t="n">
        <v>12</v>
      </c>
      <c r="J11" s="19">
        <f>H11/I11</f>
        <v>6</v>
      </c>
      <c r="K11" s="45" t="inlineStr">
        <is>
          <t>Ratgeber-Tipp: Auf Monat umlegen (6 €/M)</t>
        </is>
      </c>
    </row>
    <row r="12" ht="20" customHeight="1">
      <c r="A12" s="21" t="n">
        <v>8</v>
      </c>
      <c r="B12" s="45" t="inlineStr">
        <is>
          <t>KFZ-Haftpflicht &amp; Kasko</t>
        </is>
      </c>
      <c r="C12" s="45" t="inlineStr">
        <is>
          <t>Allianz Versicherung</t>
        </is>
      </c>
      <c r="D12" s="45" t="inlineStr">
        <is>
          <t>Mobilität</t>
        </is>
      </c>
      <c r="E12" s="45" t="inlineStr">
        <is>
          <t>Grundbedarf (50%)</t>
        </is>
      </c>
      <c r="F12" s="21" t="inlineStr">
        <is>
          <t>Jährlich</t>
        </is>
      </c>
      <c r="G12" s="21" t="inlineStr">
        <is>
          <t>02. Januar</t>
        </is>
      </c>
      <c r="H12" s="25" t="n">
        <v>600</v>
      </c>
      <c r="I12" s="21" t="n">
        <v>12</v>
      </c>
      <c r="J12" s="19">
        <f>H12/I12</f>
        <v>50</v>
      </c>
      <c r="K12" s="45" t="inlineStr">
        <is>
          <t>Jährliche Zahlung spart Rabatt (50 €/M)</t>
        </is>
      </c>
    </row>
    <row r="13" ht="20" customHeight="1">
      <c r="A13" s="21" t="n">
        <v>9</v>
      </c>
      <c r="B13" s="45" t="inlineStr">
        <is>
          <t>KFZ-Steuer</t>
        </is>
      </c>
      <c r="C13" s="45" t="inlineStr">
        <is>
          <t>Hauptzollamt</t>
        </is>
      </c>
      <c r="D13" s="45" t="inlineStr">
        <is>
          <t>Mobilität</t>
        </is>
      </c>
      <c r="E13" s="45" t="inlineStr">
        <is>
          <t>Grundbedarf (50%)</t>
        </is>
      </c>
      <c r="F13" s="21" t="inlineStr">
        <is>
          <t>Jährlich</t>
        </is>
      </c>
      <c r="G13" s="21" t="inlineStr">
        <is>
          <t>15. März</t>
        </is>
      </c>
      <c r="H13" s="25" t="n">
        <v>120</v>
      </c>
      <c r="I13" s="21" t="n">
        <v>12</v>
      </c>
      <c r="J13" s="19">
        <f>H13/I13</f>
        <v>10</v>
      </c>
      <c r="K13" s="45" t="inlineStr">
        <is>
          <t>Monatlich zurücklegen (10 €/M)</t>
        </is>
      </c>
    </row>
    <row r="14" ht="20" customHeight="1">
      <c r="A14" s="21" t="n">
        <v>10</v>
      </c>
      <c r="B14" s="45" t="inlineStr">
        <is>
          <t>Berufsunfähigkeitsversicherung</t>
        </is>
      </c>
      <c r="C14" s="45" t="inlineStr">
        <is>
          <t>Alte Leipziger</t>
        </is>
      </c>
      <c r="D14" s="45" t="inlineStr">
        <is>
          <t>Versicherungen</t>
        </is>
      </c>
      <c r="E14" s="45" t="inlineStr">
        <is>
          <t>Grundbedarf (50%)</t>
        </is>
      </c>
      <c r="F14" s="21" t="inlineStr">
        <is>
          <t>Monatlich</t>
        </is>
      </c>
      <c r="G14" s="21" t="inlineStr">
        <is>
          <t>01. des Monats</t>
        </is>
      </c>
      <c r="H14" s="25" t="n">
        <v>65</v>
      </c>
      <c r="I14" s="21" t="n">
        <v>1</v>
      </c>
      <c r="J14" s="19">
        <f>H14/I14</f>
        <v>65</v>
      </c>
      <c r="K14" s="45" t="inlineStr">
        <is>
          <t>Wichtige Einkommenssicherung</t>
        </is>
      </c>
    </row>
    <row r="15" ht="20" customHeight="1">
      <c r="A15" s="21" t="n">
        <v>11</v>
      </c>
      <c r="B15" s="45" t="inlineStr">
        <is>
          <t>Deutschlandticket / ÖPNV</t>
        </is>
      </c>
      <c r="C15" s="45" t="inlineStr">
        <is>
          <t>Deutsche Bahn / Verkehrsverbund</t>
        </is>
      </c>
      <c r="D15" s="45" t="inlineStr">
        <is>
          <t>Mobilität</t>
        </is>
      </c>
      <c r="E15" s="45" t="inlineStr">
        <is>
          <t>Grundbedarf (50%)</t>
        </is>
      </c>
      <c r="F15" s="21" t="inlineStr">
        <is>
          <t>Monatlich</t>
        </is>
      </c>
      <c r="G15" s="21" t="inlineStr">
        <is>
          <t>01. des Monats</t>
        </is>
      </c>
      <c r="H15" s="25" t="n">
        <v>49</v>
      </c>
      <c r="I15" s="21" t="n">
        <v>1</v>
      </c>
      <c r="J15" s="19">
        <f>H15/I15</f>
        <v>49</v>
      </c>
      <c r="K15" s="45" t="inlineStr">
        <is>
          <t>Monatlich kündbares Abo</t>
        </is>
      </c>
    </row>
    <row r="16" ht="20" customHeight="1">
      <c r="A16" s="21" t="n">
        <v>12</v>
      </c>
      <c r="B16" s="45" t="inlineStr">
        <is>
          <t>Fitnessstudio &amp; Wellness</t>
        </is>
      </c>
      <c r="C16" s="45" t="inlineStr">
        <is>
          <t>McFit / FitX / Urban Sports</t>
        </is>
      </c>
      <c r="D16" s="45" t="inlineStr">
        <is>
          <t>Sport &amp; Fitness</t>
        </is>
      </c>
      <c r="E16" s="45" t="inlineStr">
        <is>
          <t>Wünsche (30%)</t>
        </is>
      </c>
      <c r="F16" s="21" t="inlineStr">
        <is>
          <t>Monatlich</t>
        </is>
      </c>
      <c r="G16" s="21" t="inlineStr">
        <is>
          <t>01. des Monats</t>
        </is>
      </c>
      <c r="H16" s="25" t="n">
        <v>39.9</v>
      </c>
      <c r="I16" s="21" t="n">
        <v>1</v>
      </c>
      <c r="J16" s="19">
        <f>H16/I16</f>
        <v>39.9</v>
      </c>
      <c r="K16" s="45" t="inlineStr">
        <is>
          <t>Jahresvertrag, Kündigungsfrist 1 Monat</t>
        </is>
      </c>
    </row>
    <row r="17" ht="20" customHeight="1">
      <c r="A17" s="21" t="n">
        <v>13</v>
      </c>
      <c r="B17" s="45" t="inlineStr">
        <is>
          <t>Streaming Video (Netflix &amp; Disney+)</t>
        </is>
      </c>
      <c r="C17" s="45" t="inlineStr">
        <is>
          <t>Netflix &amp; Walt Disney</t>
        </is>
      </c>
      <c r="D17" s="45" t="inlineStr">
        <is>
          <t>Streaming &amp; Medien</t>
        </is>
      </c>
      <c r="E17" s="45" t="inlineStr">
        <is>
          <t>Wünsche (30%)</t>
        </is>
      </c>
      <c r="F17" s="21" t="inlineStr">
        <is>
          <t>Monatlich</t>
        </is>
      </c>
      <c r="G17" s="21" t="inlineStr">
        <is>
          <t>18. des Monats</t>
        </is>
      </c>
      <c r="H17" s="25" t="n">
        <v>22.98</v>
      </c>
      <c r="I17" s="21" t="n">
        <v>1</v>
      </c>
      <c r="J17" s="19">
        <f>H17/I17</f>
        <v>22.98</v>
      </c>
      <c r="K17" s="45" t="inlineStr">
        <is>
          <t>Standard-HD-Abo geteilt</t>
        </is>
      </c>
    </row>
    <row r="18" ht="20" customHeight="1">
      <c r="A18" s="21" t="n">
        <v>14</v>
      </c>
      <c r="B18" s="45" t="inlineStr">
        <is>
          <t>Musik-Streaming (Spotify Family)</t>
        </is>
      </c>
      <c r="C18" s="45" t="inlineStr">
        <is>
          <t>Spotify AB</t>
        </is>
      </c>
      <c r="D18" s="45" t="inlineStr">
        <is>
          <t>Streaming &amp; Medien</t>
        </is>
      </c>
      <c r="E18" s="45" t="inlineStr">
        <is>
          <t>Wünsche (30%)</t>
        </is>
      </c>
      <c r="F18" s="21" t="inlineStr">
        <is>
          <t>Monatlich</t>
        </is>
      </c>
      <c r="G18" s="21" t="inlineStr">
        <is>
          <t>22. des Monats</t>
        </is>
      </c>
      <c r="H18" s="25" t="n">
        <v>17.99</v>
      </c>
      <c r="I18" s="21" t="n">
        <v>1</v>
      </c>
      <c r="J18" s="19">
        <f>H18/I18</f>
        <v>17.99</v>
      </c>
      <c r="K18" s="45" t="inlineStr">
        <is>
          <t>Familienabonnement</t>
        </is>
      </c>
    </row>
    <row r="19" ht="20" customHeight="1">
      <c r="A19" s="21" t="n">
        <v>15</v>
      </c>
      <c r="B19" s="45" t="inlineStr">
        <is>
          <t>Cloud-Speicher &amp; Software (Office 365)</t>
        </is>
      </c>
      <c r="C19" s="45" t="inlineStr">
        <is>
          <t>Microsoft Ireland</t>
        </is>
      </c>
      <c r="D19" s="45" t="inlineStr">
        <is>
          <t>Streaming &amp; Medien</t>
        </is>
      </c>
      <c r="E19" s="45" t="inlineStr">
        <is>
          <t>Wünsche (30%)</t>
        </is>
      </c>
      <c r="F19" s="21" t="inlineStr">
        <is>
          <t>Jährlich</t>
        </is>
      </c>
      <c r="G19" s="21" t="inlineStr">
        <is>
          <t>10. Juni</t>
        </is>
      </c>
      <c r="H19" s="25" t="n">
        <v>99</v>
      </c>
      <c r="I19" s="21" t="n">
        <v>12</v>
      </c>
      <c r="J19" s="19">
        <f>H19/I19</f>
        <v>8.25</v>
      </c>
      <c r="K19" s="45" t="inlineStr">
        <is>
          <t>Family-Lizenz (8,25 €/M)</t>
        </is>
      </c>
    </row>
    <row r="20" ht="20" customHeight="1">
      <c r="A20" s="21" t="n">
        <v>16</v>
      </c>
      <c r="B20" s="45" t="inlineStr">
        <is>
          <t>Weltweiter Aktien-ETF Sparplan (MSCI)</t>
        </is>
      </c>
      <c r="C20" s="45" t="inlineStr">
        <is>
          <t>Scalable Capital / Trade Rep.</t>
        </is>
      </c>
      <c r="D20" s="45" t="inlineStr">
        <is>
          <t>ETF &amp; Wertpapiere</t>
        </is>
      </c>
      <c r="E20" s="45" t="inlineStr">
        <is>
          <t>Sparen &amp; Tilgen (20%)</t>
        </is>
      </c>
      <c r="F20" s="21" t="inlineStr">
        <is>
          <t>Monatlich</t>
        </is>
      </c>
      <c r="G20" s="21" t="inlineStr">
        <is>
          <t>05. des Monats</t>
        </is>
      </c>
      <c r="H20" s="25" t="n">
        <v>350</v>
      </c>
      <c r="I20" s="21" t="n">
        <v>1</v>
      </c>
      <c r="J20" s="19">
        <f>H20/I20</f>
        <v>350</v>
      </c>
      <c r="K20" s="45" t="inlineStr">
        <is>
          <t>Langfristiger Vermögensaufbau Core</t>
        </is>
      </c>
    </row>
    <row r="21" ht="20" customHeight="1">
      <c r="A21" s="21" t="n">
        <v>17</v>
      </c>
      <c r="B21" s="45" t="inlineStr">
        <is>
          <t>Notgroschen-Aufbau (Tagesgeld)</t>
        </is>
      </c>
      <c r="C21" s="45" t="inlineStr">
        <is>
          <t>Consorsbank / ING DiBa</t>
        </is>
      </c>
      <c r="D21" s="45" t="inlineStr">
        <is>
          <t>Tagesgeld &amp; Rücklagen</t>
        </is>
      </c>
      <c r="E21" s="45" t="inlineStr">
        <is>
          <t>Sparen &amp; Tilgen (20%)</t>
        </is>
      </c>
      <c r="F21" s="21" t="inlineStr">
        <is>
          <t>Monatlich</t>
        </is>
      </c>
      <c r="G21" s="21" t="inlineStr">
        <is>
          <t>01. des Monats</t>
        </is>
      </c>
      <c r="H21" s="25" t="n">
        <v>150</v>
      </c>
      <c r="I21" s="21" t="n">
        <v>1</v>
      </c>
      <c r="J21" s="19">
        <f>H21/I21</f>
        <v>150</v>
      </c>
      <c r="K21" s="45" t="inlineStr">
        <is>
          <t>Ziel: 3 Monatsnettogehälter Reserve</t>
        </is>
      </c>
    </row>
    <row r="22" ht="20" customHeight="1">
      <c r="A22" s="21" t="n">
        <v>18</v>
      </c>
      <c r="B22" s="45" t="inlineStr">
        <is>
          <t>Ratenkredit / Konsumentenkredit</t>
        </is>
      </c>
      <c r="C22" s="45" t="inlineStr">
        <is>
          <t>Santander Consumer</t>
        </is>
      </c>
      <c r="D22" s="45" t="inlineStr">
        <is>
          <t>Kredittilgung</t>
        </is>
      </c>
      <c r="E22" s="45" t="inlineStr">
        <is>
          <t>Sparen &amp; Tilgen (20%)</t>
        </is>
      </c>
      <c r="F22" s="21" t="inlineStr">
        <is>
          <t>Monatlich</t>
        </is>
      </c>
      <c r="G22" s="21" t="inlineStr">
        <is>
          <t>15. des Monats</t>
        </is>
      </c>
      <c r="H22" s="25" t="n">
        <v>100</v>
      </c>
      <c r="I22" s="21" t="n">
        <v>1</v>
      </c>
      <c r="J22" s="19">
        <f>H22/I22</f>
        <v>100</v>
      </c>
      <c r="K22" s="45" t="inlineStr">
        <is>
          <t>Restlaufzeit bis Ende 2026 (Tilgung)</t>
        </is>
      </c>
    </row>
    <row r="23" ht="20" customHeight="1">
      <c r="A23" s="26" t="n">
        <v>19</v>
      </c>
      <c r="B23" s="45" t="n"/>
      <c r="C23" s="45" t="n"/>
      <c r="D23" s="45" t="n"/>
      <c r="E23" s="45" t="n"/>
      <c r="F23" s="45" t="n"/>
      <c r="G23" s="45" t="n"/>
      <c r="H23" s="25" t="n"/>
      <c r="I23" s="21" t="n"/>
      <c r="J23" s="19">
        <f>IF(AND(ISNUMBER(H23),ISNUMBER(I23),I23&gt;0),H23/I23,0)</f>
        <v>0</v>
      </c>
      <c r="K23" s="45" t="n"/>
    </row>
    <row r="24" ht="20" customHeight="1">
      <c r="A24" s="26" t="n">
        <v>20</v>
      </c>
      <c r="B24" s="45" t="n"/>
      <c r="C24" s="45" t="n"/>
      <c r="D24" s="45" t="n"/>
      <c r="E24" s="45" t="n"/>
      <c r="F24" s="45" t="n"/>
      <c r="G24" s="45" t="n"/>
      <c r="H24" s="25" t="n"/>
      <c r="I24" s="21" t="n"/>
      <c r="J24" s="19">
        <f>IF(AND(ISNUMBER(H24),ISNUMBER(I24),I24&gt;0),H24/I24,0)</f>
        <v>0</v>
      </c>
      <c r="K24" s="45" t="n"/>
    </row>
    <row r="25" ht="20" customHeight="1">
      <c r="A25" s="26" t="n">
        <v>21</v>
      </c>
      <c r="B25" s="45" t="n"/>
      <c r="C25" s="45" t="n"/>
      <c r="D25" s="45" t="n"/>
      <c r="E25" s="45" t="n"/>
      <c r="F25" s="45" t="n"/>
      <c r="G25" s="45" t="n"/>
      <c r="H25" s="25" t="n"/>
      <c r="I25" s="21" t="n"/>
      <c r="J25" s="19">
        <f>IF(AND(ISNUMBER(H25),ISNUMBER(I25),I25&gt;0),H25/I25,0)</f>
        <v>0</v>
      </c>
      <c r="K25" s="45" t="n"/>
    </row>
    <row r="26" ht="20" customHeight="1">
      <c r="A26" s="26" t="n">
        <v>22</v>
      </c>
      <c r="B26" s="45" t="n"/>
      <c r="C26" s="45" t="n"/>
      <c r="D26" s="45" t="n"/>
      <c r="E26" s="45" t="n"/>
      <c r="F26" s="45" t="n"/>
      <c r="G26" s="45" t="n"/>
      <c r="H26" s="25" t="n"/>
      <c r="I26" s="21" t="n"/>
      <c r="J26" s="19">
        <f>IF(AND(ISNUMBER(H26),ISNUMBER(I26),I26&gt;0),H26/I26,0)</f>
        <v>0</v>
      </c>
      <c r="K26" s="45" t="n"/>
    </row>
    <row r="27" ht="20" customHeight="1">
      <c r="A27" s="26" t="n">
        <v>23</v>
      </c>
      <c r="B27" s="45" t="n"/>
      <c r="C27" s="45" t="n"/>
      <c r="D27" s="45" t="n"/>
      <c r="E27" s="45" t="n"/>
      <c r="F27" s="45" t="n"/>
      <c r="G27" s="45" t="n"/>
      <c r="H27" s="25" t="n"/>
      <c r="I27" s="21" t="n"/>
      <c r="J27" s="19">
        <f>IF(AND(ISNUMBER(H27),ISNUMBER(I27),I27&gt;0),H27/I27,0)</f>
        <v>0</v>
      </c>
      <c r="K27" s="45" t="n"/>
    </row>
    <row r="28" ht="20" customHeight="1">
      <c r="A28" s="26" t="n">
        <v>24</v>
      </c>
      <c r="B28" s="45" t="n"/>
      <c r="C28" s="45" t="n"/>
      <c r="D28" s="45" t="n"/>
      <c r="E28" s="45" t="n"/>
      <c r="F28" s="45" t="n"/>
      <c r="G28" s="45" t="n"/>
      <c r="H28" s="25" t="n"/>
      <c r="I28" s="21" t="n"/>
      <c r="J28" s="19">
        <f>IF(AND(ISNUMBER(H28),ISNUMBER(I28),I28&gt;0),H28/I28,0)</f>
        <v>0</v>
      </c>
      <c r="K28" s="45" t="n"/>
    </row>
    <row r="29" ht="20" customHeight="1">
      <c r="A29" s="26" t="n">
        <v>25</v>
      </c>
      <c r="B29" s="45" t="n"/>
      <c r="C29" s="45" t="n"/>
      <c r="D29" s="45" t="n"/>
      <c r="E29" s="45" t="n"/>
      <c r="F29" s="45" t="n"/>
      <c r="G29" s="45" t="n"/>
      <c r="H29" s="25" t="n"/>
      <c r="I29" s="21" t="n"/>
      <c r="J29" s="19">
        <f>IF(AND(ISNUMBER(H29),ISNUMBER(I29),I29&gt;0),H29/I29,0)</f>
        <v>0</v>
      </c>
      <c r="K29" s="45" t="n"/>
    </row>
    <row r="30" ht="20" customHeight="1">
      <c r="A30" s="26" t="n">
        <v>26</v>
      </c>
      <c r="B30" s="45" t="n"/>
      <c r="C30" s="45" t="n"/>
      <c r="D30" s="45" t="n"/>
      <c r="E30" s="45" t="n"/>
      <c r="F30" s="45" t="n"/>
      <c r="G30" s="45" t="n"/>
      <c r="H30" s="25" t="n"/>
      <c r="I30" s="21" t="n"/>
      <c r="J30" s="19">
        <f>IF(AND(ISNUMBER(H30),ISNUMBER(I30),I30&gt;0),H30/I30,0)</f>
        <v>0</v>
      </c>
      <c r="K30" s="45" t="n"/>
    </row>
    <row r="31" ht="20" customHeight="1">
      <c r="A31" s="26" t="n">
        <v>27</v>
      </c>
      <c r="B31" s="45" t="n"/>
      <c r="C31" s="45" t="n"/>
      <c r="D31" s="45" t="n"/>
      <c r="E31" s="45" t="n"/>
      <c r="F31" s="45" t="n"/>
      <c r="G31" s="45" t="n"/>
      <c r="H31" s="25" t="n"/>
      <c r="I31" s="21" t="n"/>
      <c r="J31" s="19">
        <f>IF(AND(ISNUMBER(H31),ISNUMBER(I31),I31&gt;0),H31/I31,0)</f>
        <v>0</v>
      </c>
      <c r="K31" s="45" t="n"/>
    </row>
    <row r="32" ht="20" customHeight="1">
      <c r="A32" s="26" t="n">
        <v>28</v>
      </c>
      <c r="B32" s="45" t="n"/>
      <c r="C32" s="45" t="n"/>
      <c r="D32" s="45" t="n"/>
      <c r="E32" s="45" t="n"/>
      <c r="F32" s="45" t="n"/>
      <c r="G32" s="45" t="n"/>
      <c r="H32" s="25" t="n"/>
      <c r="I32" s="21" t="n"/>
      <c r="J32" s="19">
        <f>IF(AND(ISNUMBER(H32),ISNUMBER(I32),I32&gt;0),H32/I32,0)</f>
        <v>0</v>
      </c>
      <c r="K32" s="45" t="n"/>
    </row>
    <row r="33" ht="20" customHeight="1">
      <c r="A33" s="26" t="n">
        <v>29</v>
      </c>
      <c r="B33" s="45" t="n"/>
      <c r="C33" s="45" t="n"/>
      <c r="D33" s="45" t="n"/>
      <c r="E33" s="45" t="n"/>
      <c r="F33" s="45" t="n"/>
      <c r="G33" s="45" t="n"/>
      <c r="H33" s="25" t="n"/>
      <c r="I33" s="21" t="n"/>
      <c r="J33" s="19">
        <f>IF(AND(ISNUMBER(H33),ISNUMBER(I33),I33&gt;0),H33/I33,0)</f>
        <v>0</v>
      </c>
      <c r="K33" s="45" t="n"/>
    </row>
    <row r="34" ht="20" customHeight="1">
      <c r="A34" s="26" t="n">
        <v>30</v>
      </c>
      <c r="B34" s="45" t="n"/>
      <c r="C34" s="45" t="n"/>
      <c r="D34" s="45" t="n"/>
      <c r="E34" s="45" t="n"/>
      <c r="F34" s="45" t="n"/>
      <c r="G34" s="45" t="n"/>
      <c r="H34" s="25" t="n"/>
      <c r="I34" s="21" t="n"/>
      <c r="J34" s="19">
        <f>IF(AND(ISNUMBER(H34),ISNUMBER(I34),I34&gt;0),H34/I34,0)</f>
        <v>0</v>
      </c>
      <c r="K34" s="45" t="n"/>
    </row>
    <row r="35" ht="20" customHeight="1">
      <c r="A35" s="26" t="n">
        <v>31</v>
      </c>
      <c r="B35" s="45" t="n"/>
      <c r="C35" s="45" t="n"/>
      <c r="D35" s="45" t="n"/>
      <c r="E35" s="45" t="n"/>
      <c r="F35" s="45" t="n"/>
      <c r="G35" s="45" t="n"/>
      <c r="H35" s="25" t="n"/>
      <c r="I35" s="21" t="n"/>
      <c r="J35" s="19">
        <f>IF(AND(ISNUMBER(H35),ISNUMBER(I35),I35&gt;0),H35/I35,0)</f>
        <v>0</v>
      </c>
      <c r="K35" s="45" t="n"/>
    </row>
    <row r="36" ht="20" customHeight="1">
      <c r="A36" s="26" t="n">
        <v>32</v>
      </c>
      <c r="B36" s="45" t="n"/>
      <c r="C36" s="45" t="n"/>
      <c r="D36" s="45" t="n"/>
      <c r="E36" s="45" t="n"/>
      <c r="F36" s="45" t="n"/>
      <c r="G36" s="45" t="n"/>
      <c r="H36" s="25" t="n"/>
      <c r="I36" s="21" t="n"/>
      <c r="J36" s="19">
        <f>IF(AND(ISNUMBER(H36),ISNUMBER(I36),I36&gt;0),H36/I36,0)</f>
        <v>0</v>
      </c>
      <c r="K36" s="45" t="n"/>
    </row>
    <row r="37" ht="20" customHeight="1">
      <c r="A37" s="26" t="n">
        <v>33</v>
      </c>
      <c r="B37" s="45" t="n"/>
      <c r="C37" s="45" t="n"/>
      <c r="D37" s="45" t="n"/>
      <c r="E37" s="45" t="n"/>
      <c r="F37" s="45" t="n"/>
      <c r="G37" s="45" t="n"/>
      <c r="H37" s="25" t="n"/>
      <c r="I37" s="21" t="n"/>
      <c r="J37" s="19">
        <f>IF(AND(ISNUMBER(H37),ISNUMBER(I37),I37&gt;0),H37/I37,0)</f>
        <v>0</v>
      </c>
      <c r="K37" s="45" t="n"/>
    </row>
    <row r="38" ht="20" customHeight="1">
      <c r="A38" s="26" t="n">
        <v>34</v>
      </c>
      <c r="B38" s="45" t="n"/>
      <c r="C38" s="45" t="n"/>
      <c r="D38" s="45" t="n"/>
      <c r="E38" s="45" t="n"/>
      <c r="F38" s="45" t="n"/>
      <c r="G38" s="45" t="n"/>
      <c r="H38" s="25" t="n"/>
      <c r="I38" s="21" t="n"/>
      <c r="J38" s="19">
        <f>IF(AND(ISNUMBER(H38),ISNUMBER(I38),I38&gt;0),H38/I38,0)</f>
        <v>0</v>
      </c>
      <c r="K38" s="45" t="n"/>
    </row>
    <row r="39" ht="20" customHeight="1">
      <c r="A39" s="26" t="n">
        <v>35</v>
      </c>
      <c r="B39" s="45" t="n"/>
      <c r="C39" s="45" t="n"/>
      <c r="D39" s="45" t="n"/>
      <c r="E39" s="45" t="n"/>
      <c r="F39" s="45" t="n"/>
      <c r="G39" s="45" t="n"/>
      <c r="H39" s="25" t="n"/>
      <c r="I39" s="21" t="n"/>
      <c r="J39" s="19">
        <f>IF(AND(ISNUMBER(H39),ISNUMBER(I39),I39&gt;0),H39/I39,0)</f>
        <v>0</v>
      </c>
      <c r="K39" s="45" t="n"/>
    </row>
    <row r="40" ht="20" customHeight="1">
      <c r="A40" s="26" t="n">
        <v>36</v>
      </c>
      <c r="B40" s="45" t="n"/>
      <c r="C40" s="45" t="n"/>
      <c r="D40" s="45" t="n"/>
      <c r="E40" s="45" t="n"/>
      <c r="F40" s="45" t="n"/>
      <c r="G40" s="45" t="n"/>
      <c r="H40" s="25" t="n"/>
      <c r="I40" s="21" t="n"/>
      <c r="J40" s="19">
        <f>IF(AND(ISNUMBER(H40),ISNUMBER(I40),I40&gt;0),H40/I40,0)</f>
        <v>0</v>
      </c>
      <c r="K40" s="45" t="n"/>
    </row>
    <row r="41" ht="20" customHeight="1">
      <c r="A41" s="26" t="n">
        <v>37</v>
      </c>
      <c r="B41" s="45" t="n"/>
      <c r="C41" s="45" t="n"/>
      <c r="D41" s="45" t="n"/>
      <c r="E41" s="45" t="n"/>
      <c r="F41" s="45" t="n"/>
      <c r="G41" s="45" t="n"/>
      <c r="H41" s="25" t="n"/>
      <c r="I41" s="21" t="n"/>
      <c r="J41" s="19">
        <f>IF(AND(ISNUMBER(H41),ISNUMBER(I41),I41&gt;0),H41/I41,0)</f>
        <v>0</v>
      </c>
      <c r="K41" s="45" t="n"/>
    </row>
    <row r="42" ht="20" customHeight="1">
      <c r="A42" s="26" t="n">
        <v>38</v>
      </c>
      <c r="B42" s="45" t="n"/>
      <c r="C42" s="45" t="n"/>
      <c r="D42" s="45" t="n"/>
      <c r="E42" s="45" t="n"/>
      <c r="F42" s="45" t="n"/>
      <c r="G42" s="45" t="n"/>
      <c r="H42" s="25" t="n"/>
      <c r="I42" s="21" t="n"/>
      <c r="J42" s="19">
        <f>IF(AND(ISNUMBER(H42),ISNUMBER(I42),I42&gt;0),H42/I42,0)</f>
        <v>0</v>
      </c>
      <c r="K42" s="45" t="n"/>
    </row>
    <row r="43" ht="20" customHeight="1">
      <c r="A43" s="26" t="n">
        <v>39</v>
      </c>
      <c r="B43" s="45" t="n"/>
      <c r="C43" s="45" t="n"/>
      <c r="D43" s="45" t="n"/>
      <c r="E43" s="45" t="n"/>
      <c r="F43" s="45" t="n"/>
      <c r="G43" s="45" t="n"/>
      <c r="H43" s="25" t="n"/>
      <c r="I43" s="21" t="n"/>
      <c r="J43" s="19">
        <f>IF(AND(ISNUMBER(H43),ISNUMBER(I43),I43&gt;0),H43/I43,0)</f>
        <v>0</v>
      </c>
      <c r="K43" s="45" t="n"/>
    </row>
    <row r="44" ht="20" customHeight="1">
      <c r="A44" s="26" t="n">
        <v>40</v>
      </c>
      <c r="B44" s="45" t="n"/>
      <c r="C44" s="45" t="n"/>
      <c r="D44" s="45" t="n"/>
      <c r="E44" s="45" t="n"/>
      <c r="F44" s="45" t="n"/>
      <c r="G44" s="45" t="n"/>
      <c r="H44" s="25" t="n"/>
      <c r="I44" s="21" t="n"/>
      <c r="J44" s="19">
        <f>IF(AND(ISNUMBER(H44),ISNUMBER(I44),I44&gt;0),H44/I44,0)</f>
        <v>0</v>
      </c>
      <c r="K44" s="45" t="n"/>
    </row>
    <row r="45" ht="20" customHeight="1">
      <c r="A45" s="26" t="n">
        <v>41</v>
      </c>
      <c r="B45" s="45" t="n"/>
      <c r="C45" s="45" t="n"/>
      <c r="D45" s="45" t="n"/>
      <c r="E45" s="45" t="n"/>
      <c r="F45" s="45" t="n"/>
      <c r="G45" s="45" t="n"/>
      <c r="H45" s="25" t="n"/>
      <c r="I45" s="21" t="n"/>
      <c r="J45" s="19">
        <f>IF(AND(ISNUMBER(H45),ISNUMBER(I45),I45&gt;0),H45/I45,0)</f>
        <v>0</v>
      </c>
      <c r="K45" s="45" t="n"/>
    </row>
    <row r="46" ht="26" customHeight="1">
      <c r="A46" s="47" t="inlineStr">
        <is>
          <t>GESAMT</t>
        </is>
      </c>
      <c r="B46" s="47" t="inlineStr">
        <is>
          <t>Summe aller monatlichen Fixkosten und Umlagen</t>
        </is>
      </c>
      <c r="C46" s="47" t="n"/>
      <c r="D46" s="47" t="n"/>
      <c r="E46" s="47" t="n"/>
      <c r="F46" s="47" t="n"/>
      <c r="G46" s="47" t="n"/>
      <c r="H46" s="47" t="n"/>
      <c r="I46" s="47" t="n"/>
      <c r="J46" s="73">
        <f>SUM(J5:J45)</f>
        <v>1982.43</v>
      </c>
      <c r="K46" s="47" t="n"/>
    </row>
    <row r="48" ht="24" customHeight="1">
      <c r="B48" s="3" t="inlineStr">
        <is>
          <t>FIXKOSTEN NACH 50-30-20 BUDGET-KATEGORIEN</t>
        </is>
      </c>
    </row>
    <row r="49" ht="22" customHeight="1">
      <c r="B49" s="43" t="inlineStr">
        <is>
          <t>Budget-Kategorie</t>
        </is>
      </c>
      <c r="C49" s="16" t="inlineStr">
        <is>
          <t>Monatliche Fixkosten (€)</t>
        </is>
      </c>
      <c r="D49" s="16" t="inlineStr">
        <is>
          <t>Anteil an Gesamten Fixkosten</t>
        </is>
      </c>
    </row>
    <row r="50" ht="20" customHeight="1">
      <c r="B50" s="45" t="inlineStr">
        <is>
          <t>Grundbedarf (50%)</t>
        </is>
      </c>
      <c r="C50" s="19">
        <f>SUMIF($E$5:$E$45, "Grundbedarf (50%)", $J$5:$J$45)</f>
        <v>1293.31</v>
      </c>
      <c r="D50" s="20">
        <f>IF($J$46&gt;0,C50/$J$46,0)</f>
        <v>0.652386212880152</v>
      </c>
    </row>
    <row r="51" ht="20" customHeight="1">
      <c r="B51" s="45" t="inlineStr">
        <is>
          <t>Wünsche (30%)</t>
        </is>
      </c>
      <c r="C51" s="19">
        <f>SUMIF($E$5:$E$45, "Wünsche (30%)", $J$5:$J$45)</f>
        <v>89.12</v>
      </c>
      <c r="D51" s="20">
        <f>IF($J$46&gt;0,C51/$J$46,0)</f>
        <v>0.0449549290517194</v>
      </c>
    </row>
    <row r="52" ht="20" customHeight="1">
      <c r="B52" s="45" t="inlineStr">
        <is>
          <t>Sparen &amp; Tilgen (20%)</t>
        </is>
      </c>
      <c r="C52" s="19">
        <f>SUMIF($E$5:$E$45, "Sparen &amp; Tilgen (20%)", $J$5:$J$45)</f>
        <v>600</v>
      </c>
      <c r="D52" s="20">
        <f>IF($J$46&gt;0,C52/$J$46,0)</f>
        <v>0.302658858068129</v>
      </c>
    </row>
  </sheetData>
  <mergeCells count="2">
    <mergeCell ref="A2:K2"/>
    <mergeCell ref="A1:K1"/>
  </mergeCells>
  <pageMargins left="0.75" right="0.75" top="1" bottom="1" header="0.5" footer="0.5"/>
  <pageSetup orientation="landscape" paperSize="9"/>
</worksheet>
</file>

<file path=xl/worksheets/sheet5.xml><?xml version="1.0" encoding="utf-8"?>
<worksheet xmlns="http://schemas.openxmlformats.org/spreadsheetml/2006/main">
  <sheetPr>
    <tabColor rgb="00F59E0B"/>
    <outlinePr summaryBelow="1" summaryRight="1"/>
    <pageSetUpPr/>
  </sheetPr>
  <dimension ref="A1:I210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0" customWidth="1" min="3" max="3"/>
    <col width="34" customWidth="1" min="4" max="4"/>
    <col width="24" customWidth="1" min="5" max="5"/>
    <col width="14" customWidth="1" min="6" max="6"/>
    <col width="16" customWidth="1" min="7" max="7"/>
    <col width="20" customWidth="1" min="8" max="8"/>
    <col width="42" customWidth="1" min="9" max="9"/>
  </cols>
  <sheetData>
    <row r="1" ht="40" customHeight="1">
      <c r="A1" s="1" t="inlineStr">
        <is>
          <t>Buchungsjournal 2026 – Laufende Einnahmen &amp; Variable Ausgaben</t>
        </is>
      </c>
    </row>
    <row r="2" ht="24" customHeight="1">
      <c r="A2" s="2" t="inlineStr">
        <is>
          <t>Tägliche oder wöchentliche Erfassung (Kassenbons, Einkäufe, Gehaltseingänge) | Automatische Monats- und Budgetzuordnung | Alle Beträge in EUR (€)</t>
        </is>
      </c>
    </row>
    <row r="3" ht="12" customHeight="1"/>
    <row r="4" ht="26" customHeight="1">
      <c r="A4" s="16" t="inlineStr">
        <is>
          <t>Buchungs-Nr.</t>
        </is>
      </c>
      <c r="B4" s="16" t="inlineStr">
        <is>
          <t>Datum</t>
        </is>
      </c>
      <c r="C4" s="16" t="inlineStr">
        <is>
          <t>Monat</t>
        </is>
      </c>
      <c r="D4" s="43" t="inlineStr">
        <is>
          <t>Kategorie</t>
        </is>
      </c>
      <c r="E4" s="43" t="inlineStr">
        <is>
          <t>Budget-Gruppe (50-30-20)</t>
        </is>
      </c>
      <c r="F4" s="16" t="inlineStr">
        <is>
          <t>Typ</t>
        </is>
      </c>
      <c r="G4" s="74" t="inlineStr">
        <is>
          <t>Betrag (€)</t>
        </is>
      </c>
      <c r="H4" s="16" t="inlineStr">
        <is>
          <t>Zahlungsart</t>
        </is>
      </c>
      <c r="I4" s="43" t="inlineStr">
        <is>
          <t>Empfänger / Verwendungszweck / Details</t>
        </is>
      </c>
    </row>
    <row r="5" ht="20" customHeight="1">
      <c r="A5" s="21" t="n">
        <v>1</v>
      </c>
      <c r="B5" s="21" t="inlineStr">
        <is>
          <t>2026-01-01</t>
        </is>
      </c>
      <c r="C5" s="21" t="n">
        <v>1</v>
      </c>
      <c r="D5" s="45" t="inlineStr">
        <is>
          <t>Gehalt / Lohn (Hauptjob Netto)</t>
        </is>
      </c>
      <c r="E5" s="45" t="inlineStr">
        <is>
          <t>Grundbedarf (50%)</t>
        </is>
      </c>
      <c r="F5" s="75" t="inlineStr">
        <is>
          <t>Einnahme</t>
        </is>
      </c>
      <c r="G5" s="25" t="n">
        <v>2800</v>
      </c>
      <c r="H5" s="21" t="inlineStr">
        <is>
          <t>Banküberweisung</t>
        </is>
      </c>
      <c r="I5" s="45" t="inlineStr">
        <is>
          <t>Arbeitgeber Überweisung Monatsgehalt Netto</t>
        </is>
      </c>
    </row>
    <row r="6" ht="20" customHeight="1">
      <c r="A6" s="21" t="n">
        <v>2</v>
      </c>
      <c r="B6" s="21" t="inlineStr">
        <is>
          <t>2026-01-05</t>
        </is>
      </c>
      <c r="C6" s="21" t="n">
        <v>1</v>
      </c>
      <c r="D6" s="45" t="inlineStr">
        <is>
          <t>Lebensmittel &amp; Haushalt</t>
        </is>
      </c>
      <c r="E6" s="45" t="inlineStr">
        <is>
          <t>Grundbedarf (50%)</t>
        </is>
      </c>
      <c r="F6" s="76" t="inlineStr">
        <is>
          <t>Ausgabe</t>
        </is>
      </c>
      <c r="G6" s="25" t="n">
        <v>115.4</v>
      </c>
      <c r="H6" s="21" t="inlineStr">
        <is>
          <t>Girocard / Debit</t>
        </is>
      </c>
      <c r="I6" s="45" t="inlineStr">
        <is>
          <t>Wocheneinkauf REWE / Edeka</t>
        </is>
      </c>
    </row>
    <row r="7" ht="20" customHeight="1">
      <c r="A7" s="21" t="n">
        <v>3</v>
      </c>
      <c r="B7" s="21" t="inlineStr">
        <is>
          <t>2026-01-12</t>
        </is>
      </c>
      <c r="C7" s="21" t="n">
        <v>1</v>
      </c>
      <c r="D7" s="45" t="inlineStr">
        <is>
          <t>Lebensmittel &amp; Haushalt</t>
        </is>
      </c>
      <c r="E7" s="45" t="inlineStr">
        <is>
          <t>Grundbedarf (50%)</t>
        </is>
      </c>
      <c r="F7" s="76" t="inlineStr">
        <is>
          <t>Ausgabe</t>
        </is>
      </c>
      <c r="G7" s="25" t="n">
        <v>98.59999999999999</v>
      </c>
      <c r="H7" s="21" t="inlineStr">
        <is>
          <t>Girocard / Debit</t>
        </is>
      </c>
      <c r="I7" s="45" t="inlineStr">
        <is>
          <t>Wocheneinkauf ALDI / Lidl</t>
        </is>
      </c>
    </row>
    <row r="8" ht="20" customHeight="1">
      <c r="A8" s="21" t="n">
        <v>4</v>
      </c>
      <c r="B8" s="21" t="inlineStr">
        <is>
          <t>2026-01-15</t>
        </is>
      </c>
      <c r="C8" s="21" t="n">
        <v>1</v>
      </c>
      <c r="D8" s="45" t="inlineStr">
        <is>
          <t>Drogerie &amp; Körperpflege</t>
        </is>
      </c>
      <c r="E8" s="45" t="inlineStr">
        <is>
          <t>Grundbedarf (50%)</t>
        </is>
      </c>
      <c r="F8" s="76" t="inlineStr">
        <is>
          <t>Ausgabe</t>
        </is>
      </c>
      <c r="G8" s="25" t="n">
        <v>42.5</v>
      </c>
      <c r="H8" s="21" t="inlineStr">
        <is>
          <t>Girocard / Debit</t>
        </is>
      </c>
      <c r="I8" s="45" t="inlineStr">
        <is>
          <t>Drogeriemarkt dm / Rossmann</t>
        </is>
      </c>
    </row>
    <row r="9" ht="20" customHeight="1">
      <c r="A9" s="21" t="n">
        <v>5</v>
      </c>
      <c r="B9" s="21" t="inlineStr">
        <is>
          <t>2026-01-19</t>
        </is>
      </c>
      <c r="C9" s="21" t="n">
        <v>1</v>
      </c>
      <c r="D9" s="45" t="inlineStr">
        <is>
          <t>Lebensmittel &amp; Haushalt</t>
        </is>
      </c>
      <c r="E9" s="45" t="inlineStr">
        <is>
          <t>Grundbedarf (50%)</t>
        </is>
      </c>
      <c r="F9" s="76" t="inlineStr">
        <is>
          <t>Ausgabe</t>
        </is>
      </c>
      <c r="G9" s="25" t="n">
        <v>124.3</v>
      </c>
      <c r="H9" s="21" t="inlineStr">
        <is>
          <t>Girocard / Debit</t>
        </is>
      </c>
      <c r="I9" s="45" t="inlineStr">
        <is>
          <t>Großeinkauf Supermarkt &amp; Bäckerei</t>
        </is>
      </c>
    </row>
    <row r="10" ht="20" customHeight="1">
      <c r="A10" s="21" t="n">
        <v>6</v>
      </c>
      <c r="B10" s="21" t="inlineStr">
        <is>
          <t>2026-01-26</t>
        </is>
      </c>
      <c r="C10" s="21" t="n">
        <v>1</v>
      </c>
      <c r="D10" s="45" t="inlineStr">
        <is>
          <t>Lebensmittel &amp; Haushalt</t>
        </is>
      </c>
      <c r="E10" s="45" t="inlineStr">
        <is>
          <t>Grundbedarf (50%)</t>
        </is>
      </c>
      <c r="F10" s="76" t="inlineStr">
        <is>
          <t>Ausgabe</t>
        </is>
      </c>
      <c r="G10" s="25" t="n">
        <v>85.2</v>
      </c>
      <c r="H10" s="21" t="inlineStr">
        <is>
          <t>Girocard / Debit</t>
        </is>
      </c>
      <c r="I10" s="45" t="inlineStr">
        <is>
          <t>Wochenendeinkauf Frischemarkt</t>
        </is>
      </c>
    </row>
    <row r="11" ht="20" customHeight="1">
      <c r="A11" s="21" t="n">
        <v>7</v>
      </c>
      <c r="B11" s="21" t="inlineStr">
        <is>
          <t>2026-01-10</t>
        </is>
      </c>
      <c r="C11" s="21" t="n">
        <v>1</v>
      </c>
      <c r="D11" s="45" t="inlineStr">
        <is>
          <t>Mobilität variabel</t>
        </is>
      </c>
      <c r="E11" s="45" t="inlineStr">
        <is>
          <t>Grundbedarf (50%)</t>
        </is>
      </c>
      <c r="F11" s="76" t="inlineStr">
        <is>
          <t>Ausgabe</t>
        </is>
      </c>
      <c r="G11" s="25" t="n">
        <v>75</v>
      </c>
      <c r="H11" s="21" t="inlineStr">
        <is>
          <t>Kreditkarte</t>
        </is>
      </c>
      <c r="I11" s="45" t="inlineStr">
        <is>
          <t>Aral Tankstelle Kraftstoff</t>
        </is>
      </c>
    </row>
    <row r="12" ht="20" customHeight="1">
      <c r="A12" s="21" t="n">
        <v>8</v>
      </c>
      <c r="B12" s="21" t="inlineStr">
        <is>
          <t>2026-01-08</t>
        </is>
      </c>
      <c r="C12" s="21" t="n">
        <v>1</v>
      </c>
      <c r="D12" s="45" t="inlineStr">
        <is>
          <t>Restaurant &amp; Ausgehen</t>
        </is>
      </c>
      <c r="E12" s="45" t="inlineStr">
        <is>
          <t>Wünsche (30%)</t>
        </is>
      </c>
      <c r="F12" s="76" t="inlineStr">
        <is>
          <t>Ausgabe</t>
        </is>
      </c>
      <c r="G12" s="25" t="n">
        <v>68.5</v>
      </c>
      <c r="H12" s="21" t="inlineStr">
        <is>
          <t>Kreditkarte</t>
        </is>
      </c>
      <c r="I12" s="45" t="inlineStr">
        <is>
          <t>Abendessen Restaurant / Pizzeria</t>
        </is>
      </c>
    </row>
    <row r="13" ht="20" customHeight="1">
      <c r="A13" s="21" t="n">
        <v>9</v>
      </c>
      <c r="B13" s="21" t="inlineStr">
        <is>
          <t>2026-01-16</t>
        </is>
      </c>
      <c r="C13" s="21" t="n">
        <v>1</v>
      </c>
      <c r="D13" s="45" t="inlineStr">
        <is>
          <t>Freizeit &amp; Hobbys</t>
        </is>
      </c>
      <c r="E13" s="45" t="inlineStr">
        <is>
          <t>Wünsche (30%)</t>
        </is>
      </c>
      <c r="F13" s="76" t="inlineStr">
        <is>
          <t>Ausgabe</t>
        </is>
      </c>
      <c r="G13" s="25" t="n">
        <v>35</v>
      </c>
      <c r="H13" s="21" t="inlineStr">
        <is>
          <t>Barzahlung</t>
        </is>
      </c>
      <c r="I13" s="45" t="inlineStr">
        <is>
          <t>Kino &amp; Popcorn am Wochenende</t>
        </is>
      </c>
    </row>
    <row r="14" ht="20" customHeight="1">
      <c r="A14" s="21" t="n">
        <v>10</v>
      </c>
      <c r="B14" s="21" t="inlineStr">
        <is>
          <t>2026-01-22</t>
        </is>
      </c>
      <c r="C14" s="21" t="n">
        <v>1</v>
      </c>
      <c r="D14" s="45" t="inlineStr">
        <is>
          <t>Kleidung &amp; Shopping</t>
        </is>
      </c>
      <c r="E14" s="45" t="inlineStr">
        <is>
          <t>Wünsche (30%)</t>
        </is>
      </c>
      <c r="F14" s="76" t="inlineStr">
        <is>
          <t>Ausgabe</t>
        </is>
      </c>
      <c r="G14" s="25" t="n">
        <v>89.90000000000001</v>
      </c>
      <c r="H14" s="21" t="inlineStr">
        <is>
          <t>PayPal</t>
        </is>
      </c>
      <c r="I14" s="45" t="inlineStr">
        <is>
          <t>Bekleidungseinkauf / Schuhe</t>
        </is>
      </c>
    </row>
    <row r="15" ht="20" customHeight="1">
      <c r="A15" s="21" t="n">
        <v>11</v>
      </c>
      <c r="B15" s="21" t="inlineStr">
        <is>
          <t>2026-01-27</t>
        </is>
      </c>
      <c r="C15" s="21" t="n">
        <v>1</v>
      </c>
      <c r="D15" s="45" t="inlineStr">
        <is>
          <t>Restaurant &amp; Ausgehen</t>
        </is>
      </c>
      <c r="E15" s="45" t="inlineStr">
        <is>
          <t>Wünsche (30%)</t>
        </is>
      </c>
      <c r="F15" s="76" t="inlineStr">
        <is>
          <t>Ausgabe</t>
        </is>
      </c>
      <c r="G15" s="25" t="n">
        <v>45</v>
      </c>
      <c r="H15" s="21" t="inlineStr">
        <is>
          <t>Girocard / Debit</t>
        </is>
      </c>
      <c r="I15" s="45" t="inlineStr">
        <is>
          <t>Lieferdienst Pizza / Sushi am Sonntag</t>
        </is>
      </c>
    </row>
    <row r="16" ht="20" customHeight="1">
      <c r="A16" s="21" t="n">
        <v>12</v>
      </c>
      <c r="B16" s="21" t="inlineStr">
        <is>
          <t>2026-02-01</t>
        </is>
      </c>
      <c r="C16" s="21" t="n">
        <v>2</v>
      </c>
      <c r="D16" s="45" t="inlineStr">
        <is>
          <t>Gehalt / Lohn (Hauptjob Netto)</t>
        </is>
      </c>
      <c r="E16" s="45" t="inlineStr">
        <is>
          <t>Grundbedarf (50%)</t>
        </is>
      </c>
      <c r="F16" s="75" t="inlineStr">
        <is>
          <t>Einnahme</t>
        </is>
      </c>
      <c r="G16" s="25" t="n">
        <v>2800</v>
      </c>
      <c r="H16" s="21" t="inlineStr">
        <is>
          <t>Banküberweisung</t>
        </is>
      </c>
      <c r="I16" s="45" t="inlineStr">
        <is>
          <t>Arbeitgeber Überweisung Monatsgehalt Netto</t>
        </is>
      </c>
    </row>
    <row r="17" ht="20" customHeight="1">
      <c r="A17" s="21" t="n">
        <v>13</v>
      </c>
      <c r="B17" s="21" t="inlineStr">
        <is>
          <t>2026-02-05</t>
        </is>
      </c>
      <c r="C17" s="21" t="n">
        <v>2</v>
      </c>
      <c r="D17" s="45" t="inlineStr">
        <is>
          <t>Lebensmittel &amp; Haushalt</t>
        </is>
      </c>
      <c r="E17" s="45" t="inlineStr">
        <is>
          <t>Grundbedarf (50%)</t>
        </is>
      </c>
      <c r="F17" s="76" t="inlineStr">
        <is>
          <t>Ausgabe</t>
        </is>
      </c>
      <c r="G17" s="25" t="n">
        <v>115.4</v>
      </c>
      <c r="H17" s="21" t="inlineStr">
        <is>
          <t>Girocard / Debit</t>
        </is>
      </c>
      <c r="I17" s="45" t="inlineStr">
        <is>
          <t>Wocheneinkauf REWE / Edeka</t>
        </is>
      </c>
    </row>
    <row r="18" ht="20" customHeight="1">
      <c r="A18" s="21" t="n">
        <v>14</v>
      </c>
      <c r="B18" s="21" t="inlineStr">
        <is>
          <t>2026-02-12</t>
        </is>
      </c>
      <c r="C18" s="21" t="n">
        <v>2</v>
      </c>
      <c r="D18" s="45" t="inlineStr">
        <is>
          <t>Lebensmittel &amp; Haushalt</t>
        </is>
      </c>
      <c r="E18" s="45" t="inlineStr">
        <is>
          <t>Grundbedarf (50%)</t>
        </is>
      </c>
      <c r="F18" s="76" t="inlineStr">
        <is>
          <t>Ausgabe</t>
        </is>
      </c>
      <c r="G18" s="25" t="n">
        <v>98.59999999999999</v>
      </c>
      <c r="H18" s="21" t="inlineStr">
        <is>
          <t>Girocard / Debit</t>
        </is>
      </c>
      <c r="I18" s="45" t="inlineStr">
        <is>
          <t>Wocheneinkauf ALDI / Lidl</t>
        </is>
      </c>
    </row>
    <row r="19" ht="20" customHeight="1">
      <c r="A19" s="21" t="n">
        <v>15</v>
      </c>
      <c r="B19" s="21" t="inlineStr">
        <is>
          <t>2026-02-15</t>
        </is>
      </c>
      <c r="C19" s="21" t="n">
        <v>2</v>
      </c>
      <c r="D19" s="45" t="inlineStr">
        <is>
          <t>Drogerie &amp; Körperpflege</t>
        </is>
      </c>
      <c r="E19" s="45" t="inlineStr">
        <is>
          <t>Grundbedarf (50%)</t>
        </is>
      </c>
      <c r="F19" s="76" t="inlineStr">
        <is>
          <t>Ausgabe</t>
        </is>
      </c>
      <c r="G19" s="25" t="n">
        <v>42.5</v>
      </c>
      <c r="H19" s="21" t="inlineStr">
        <is>
          <t>Girocard / Debit</t>
        </is>
      </c>
      <c r="I19" s="45" t="inlineStr">
        <is>
          <t>Drogeriemarkt dm / Rossmann</t>
        </is>
      </c>
    </row>
    <row r="20" ht="20" customHeight="1">
      <c r="A20" s="21" t="n">
        <v>16</v>
      </c>
      <c r="B20" s="21" t="inlineStr">
        <is>
          <t>2026-02-19</t>
        </is>
      </c>
      <c r="C20" s="21" t="n">
        <v>2</v>
      </c>
      <c r="D20" s="45" t="inlineStr">
        <is>
          <t>Lebensmittel &amp; Haushalt</t>
        </is>
      </c>
      <c r="E20" s="45" t="inlineStr">
        <is>
          <t>Grundbedarf (50%)</t>
        </is>
      </c>
      <c r="F20" s="76" t="inlineStr">
        <is>
          <t>Ausgabe</t>
        </is>
      </c>
      <c r="G20" s="25" t="n">
        <v>124.3</v>
      </c>
      <c r="H20" s="21" t="inlineStr">
        <is>
          <t>Girocard / Debit</t>
        </is>
      </c>
      <c r="I20" s="45" t="inlineStr">
        <is>
          <t>Großeinkauf Supermarkt &amp; Bäckerei</t>
        </is>
      </c>
    </row>
    <row r="21" ht="20" customHeight="1">
      <c r="A21" s="21" t="n">
        <v>17</v>
      </c>
      <c r="B21" s="21" t="inlineStr">
        <is>
          <t>2026-02-26</t>
        </is>
      </c>
      <c r="C21" s="21" t="n">
        <v>2</v>
      </c>
      <c r="D21" s="45" t="inlineStr">
        <is>
          <t>Lebensmittel &amp; Haushalt</t>
        </is>
      </c>
      <c r="E21" s="45" t="inlineStr">
        <is>
          <t>Grundbedarf (50%)</t>
        </is>
      </c>
      <c r="F21" s="76" t="inlineStr">
        <is>
          <t>Ausgabe</t>
        </is>
      </c>
      <c r="G21" s="25" t="n">
        <v>85.2</v>
      </c>
      <c r="H21" s="21" t="inlineStr">
        <is>
          <t>Girocard / Debit</t>
        </is>
      </c>
      <c r="I21" s="45" t="inlineStr">
        <is>
          <t>Wochenendeinkauf Frischemarkt</t>
        </is>
      </c>
    </row>
    <row r="22" ht="20" customHeight="1">
      <c r="A22" s="21" t="n">
        <v>18</v>
      </c>
      <c r="B22" s="21" t="inlineStr">
        <is>
          <t>2026-02-10</t>
        </is>
      </c>
      <c r="C22" s="21" t="n">
        <v>2</v>
      </c>
      <c r="D22" s="45" t="inlineStr">
        <is>
          <t>Mobilität variabel</t>
        </is>
      </c>
      <c r="E22" s="45" t="inlineStr">
        <is>
          <t>Grundbedarf (50%)</t>
        </is>
      </c>
      <c r="F22" s="76" t="inlineStr">
        <is>
          <t>Ausgabe</t>
        </is>
      </c>
      <c r="G22" s="25" t="n">
        <v>75</v>
      </c>
      <c r="H22" s="21" t="inlineStr">
        <is>
          <t>Kreditkarte</t>
        </is>
      </c>
      <c r="I22" s="45" t="inlineStr">
        <is>
          <t>Aral Tankstelle Kraftstoff</t>
        </is>
      </c>
    </row>
    <row r="23" ht="20" customHeight="1">
      <c r="A23" s="21" t="n">
        <v>19</v>
      </c>
      <c r="B23" s="21" t="inlineStr">
        <is>
          <t>2026-02-08</t>
        </is>
      </c>
      <c r="C23" s="21" t="n">
        <v>2</v>
      </c>
      <c r="D23" s="45" t="inlineStr">
        <is>
          <t>Restaurant &amp; Ausgehen</t>
        </is>
      </c>
      <c r="E23" s="45" t="inlineStr">
        <is>
          <t>Wünsche (30%)</t>
        </is>
      </c>
      <c r="F23" s="76" t="inlineStr">
        <is>
          <t>Ausgabe</t>
        </is>
      </c>
      <c r="G23" s="25" t="n">
        <v>68.5</v>
      </c>
      <c r="H23" s="21" t="inlineStr">
        <is>
          <t>Kreditkarte</t>
        </is>
      </c>
      <c r="I23" s="45" t="inlineStr">
        <is>
          <t>Abendessen Restaurant / Pizzeria</t>
        </is>
      </c>
    </row>
    <row r="24" ht="20" customHeight="1">
      <c r="A24" s="21" t="n">
        <v>20</v>
      </c>
      <c r="B24" s="21" t="inlineStr">
        <is>
          <t>2026-02-16</t>
        </is>
      </c>
      <c r="C24" s="21" t="n">
        <v>2</v>
      </c>
      <c r="D24" s="45" t="inlineStr">
        <is>
          <t>Freizeit &amp; Hobbys</t>
        </is>
      </c>
      <c r="E24" s="45" t="inlineStr">
        <is>
          <t>Wünsche (30%)</t>
        </is>
      </c>
      <c r="F24" s="76" t="inlineStr">
        <is>
          <t>Ausgabe</t>
        </is>
      </c>
      <c r="G24" s="25" t="n">
        <v>35</v>
      </c>
      <c r="H24" s="21" t="inlineStr">
        <is>
          <t>Barzahlung</t>
        </is>
      </c>
      <c r="I24" s="45" t="inlineStr">
        <is>
          <t>Kino &amp; Popcorn am Wochenende</t>
        </is>
      </c>
    </row>
    <row r="25" ht="20" customHeight="1">
      <c r="A25" s="21" t="n">
        <v>21</v>
      </c>
      <c r="B25" s="21" t="inlineStr">
        <is>
          <t>2026-02-22</t>
        </is>
      </c>
      <c r="C25" s="21" t="n">
        <v>2</v>
      </c>
      <c r="D25" s="45" t="inlineStr">
        <is>
          <t>Kleidung &amp; Shopping</t>
        </is>
      </c>
      <c r="E25" s="45" t="inlineStr">
        <is>
          <t>Wünsche (30%)</t>
        </is>
      </c>
      <c r="F25" s="76" t="inlineStr">
        <is>
          <t>Ausgabe</t>
        </is>
      </c>
      <c r="G25" s="25" t="n">
        <v>89.90000000000001</v>
      </c>
      <c r="H25" s="21" t="inlineStr">
        <is>
          <t>PayPal</t>
        </is>
      </c>
      <c r="I25" s="45" t="inlineStr">
        <is>
          <t>Bekleidungseinkauf / Schuhe</t>
        </is>
      </c>
    </row>
    <row r="26" ht="20" customHeight="1">
      <c r="A26" s="21" t="n">
        <v>22</v>
      </c>
      <c r="B26" s="21" t="inlineStr">
        <is>
          <t>2026-02-27</t>
        </is>
      </c>
      <c r="C26" s="21" t="n">
        <v>2</v>
      </c>
      <c r="D26" s="45" t="inlineStr">
        <is>
          <t>Restaurant &amp; Ausgehen</t>
        </is>
      </c>
      <c r="E26" s="45" t="inlineStr">
        <is>
          <t>Wünsche (30%)</t>
        </is>
      </c>
      <c r="F26" s="76" t="inlineStr">
        <is>
          <t>Ausgabe</t>
        </is>
      </c>
      <c r="G26" s="25" t="n">
        <v>45</v>
      </c>
      <c r="H26" s="21" t="inlineStr">
        <is>
          <t>Girocard / Debit</t>
        </is>
      </c>
      <c r="I26" s="45" t="inlineStr">
        <is>
          <t>Lieferdienst Pizza / Sushi am Sonntag</t>
        </is>
      </c>
    </row>
    <row r="27" ht="20" customHeight="1">
      <c r="A27" s="21" t="n">
        <v>23</v>
      </c>
      <c r="B27" s="21" t="inlineStr">
        <is>
          <t>2026-03-01</t>
        </is>
      </c>
      <c r="C27" s="21" t="n">
        <v>3</v>
      </c>
      <c r="D27" s="45" t="inlineStr">
        <is>
          <t>Gehalt / Lohn (Hauptjob Netto)</t>
        </is>
      </c>
      <c r="E27" s="45" t="inlineStr">
        <is>
          <t>Grundbedarf (50%)</t>
        </is>
      </c>
      <c r="F27" s="75" t="inlineStr">
        <is>
          <t>Einnahme</t>
        </is>
      </c>
      <c r="G27" s="25" t="n">
        <v>2800</v>
      </c>
      <c r="H27" s="21" t="inlineStr">
        <is>
          <t>Banküberweisung</t>
        </is>
      </c>
      <c r="I27" s="45" t="inlineStr">
        <is>
          <t>Arbeitgeber Überweisung Monatsgehalt Netto</t>
        </is>
      </c>
    </row>
    <row r="28" ht="20" customHeight="1">
      <c r="A28" s="21" t="n">
        <v>24</v>
      </c>
      <c r="B28" s="21" t="inlineStr">
        <is>
          <t>2026-03-05</t>
        </is>
      </c>
      <c r="C28" s="21" t="n">
        <v>3</v>
      </c>
      <c r="D28" s="45" t="inlineStr">
        <is>
          <t>Lebensmittel &amp; Haushalt</t>
        </is>
      </c>
      <c r="E28" s="45" t="inlineStr">
        <is>
          <t>Grundbedarf (50%)</t>
        </is>
      </c>
      <c r="F28" s="76" t="inlineStr">
        <is>
          <t>Ausgabe</t>
        </is>
      </c>
      <c r="G28" s="25" t="n">
        <v>115.4</v>
      </c>
      <c r="H28" s="21" t="inlineStr">
        <is>
          <t>Girocard / Debit</t>
        </is>
      </c>
      <c r="I28" s="45" t="inlineStr">
        <is>
          <t>Wocheneinkauf REWE / Edeka</t>
        </is>
      </c>
    </row>
    <row r="29" ht="20" customHeight="1">
      <c r="A29" s="21" t="n">
        <v>25</v>
      </c>
      <c r="B29" s="21" t="inlineStr">
        <is>
          <t>2026-03-12</t>
        </is>
      </c>
      <c r="C29" s="21" t="n">
        <v>3</v>
      </c>
      <c r="D29" s="45" t="inlineStr">
        <is>
          <t>Lebensmittel &amp; Haushalt</t>
        </is>
      </c>
      <c r="E29" s="45" t="inlineStr">
        <is>
          <t>Grundbedarf (50%)</t>
        </is>
      </c>
      <c r="F29" s="76" t="inlineStr">
        <is>
          <t>Ausgabe</t>
        </is>
      </c>
      <c r="G29" s="25" t="n">
        <v>98.59999999999999</v>
      </c>
      <c r="H29" s="21" t="inlineStr">
        <is>
          <t>Girocard / Debit</t>
        </is>
      </c>
      <c r="I29" s="45" t="inlineStr">
        <is>
          <t>Wocheneinkauf ALDI / Lidl</t>
        </is>
      </c>
    </row>
    <row r="30" ht="20" customHeight="1">
      <c r="A30" s="21" t="n">
        <v>26</v>
      </c>
      <c r="B30" s="21" t="inlineStr">
        <is>
          <t>2026-03-15</t>
        </is>
      </c>
      <c r="C30" s="21" t="n">
        <v>3</v>
      </c>
      <c r="D30" s="45" t="inlineStr">
        <is>
          <t>Drogerie &amp; Körperpflege</t>
        </is>
      </c>
      <c r="E30" s="45" t="inlineStr">
        <is>
          <t>Grundbedarf (50%)</t>
        </is>
      </c>
      <c r="F30" s="76" t="inlineStr">
        <is>
          <t>Ausgabe</t>
        </is>
      </c>
      <c r="G30" s="25" t="n">
        <v>42.5</v>
      </c>
      <c r="H30" s="21" t="inlineStr">
        <is>
          <t>Girocard / Debit</t>
        </is>
      </c>
      <c r="I30" s="45" t="inlineStr">
        <is>
          <t>Drogeriemarkt dm / Rossmann</t>
        </is>
      </c>
    </row>
    <row r="31" ht="20" customHeight="1">
      <c r="A31" s="21" t="n">
        <v>27</v>
      </c>
      <c r="B31" s="21" t="inlineStr">
        <is>
          <t>2026-03-19</t>
        </is>
      </c>
      <c r="C31" s="21" t="n">
        <v>3</v>
      </c>
      <c r="D31" s="45" t="inlineStr">
        <is>
          <t>Lebensmittel &amp; Haushalt</t>
        </is>
      </c>
      <c r="E31" s="45" t="inlineStr">
        <is>
          <t>Grundbedarf (50%)</t>
        </is>
      </c>
      <c r="F31" s="76" t="inlineStr">
        <is>
          <t>Ausgabe</t>
        </is>
      </c>
      <c r="G31" s="25" t="n">
        <v>124.3</v>
      </c>
      <c r="H31" s="21" t="inlineStr">
        <is>
          <t>Girocard / Debit</t>
        </is>
      </c>
      <c r="I31" s="45" t="inlineStr">
        <is>
          <t>Großeinkauf Supermarkt &amp; Bäckerei</t>
        </is>
      </c>
    </row>
    <row r="32" ht="20" customHeight="1">
      <c r="A32" s="21" t="n">
        <v>28</v>
      </c>
      <c r="B32" s="21" t="inlineStr">
        <is>
          <t>2026-03-26</t>
        </is>
      </c>
      <c r="C32" s="21" t="n">
        <v>3</v>
      </c>
      <c r="D32" s="45" t="inlineStr">
        <is>
          <t>Lebensmittel &amp; Haushalt</t>
        </is>
      </c>
      <c r="E32" s="45" t="inlineStr">
        <is>
          <t>Grundbedarf (50%)</t>
        </is>
      </c>
      <c r="F32" s="76" t="inlineStr">
        <is>
          <t>Ausgabe</t>
        </is>
      </c>
      <c r="G32" s="25" t="n">
        <v>85.2</v>
      </c>
      <c r="H32" s="21" t="inlineStr">
        <is>
          <t>Girocard / Debit</t>
        </is>
      </c>
      <c r="I32" s="45" t="inlineStr">
        <is>
          <t>Wochenendeinkauf Frischemarkt</t>
        </is>
      </c>
    </row>
    <row r="33" ht="20" customHeight="1">
      <c r="A33" s="21" t="n">
        <v>29</v>
      </c>
      <c r="B33" s="21" t="inlineStr">
        <is>
          <t>2026-03-10</t>
        </is>
      </c>
      <c r="C33" s="21" t="n">
        <v>3</v>
      </c>
      <c r="D33" s="45" t="inlineStr">
        <is>
          <t>Mobilität variabel</t>
        </is>
      </c>
      <c r="E33" s="45" t="inlineStr">
        <is>
          <t>Grundbedarf (50%)</t>
        </is>
      </c>
      <c r="F33" s="76" t="inlineStr">
        <is>
          <t>Ausgabe</t>
        </is>
      </c>
      <c r="G33" s="25" t="n">
        <v>75</v>
      </c>
      <c r="H33" s="21" t="inlineStr">
        <is>
          <t>Kreditkarte</t>
        </is>
      </c>
      <c r="I33" s="45" t="inlineStr">
        <is>
          <t>Aral Tankstelle Kraftstoff</t>
        </is>
      </c>
    </row>
    <row r="34" ht="20" customHeight="1">
      <c r="A34" s="21" t="n">
        <v>30</v>
      </c>
      <c r="B34" s="21" t="inlineStr">
        <is>
          <t>2026-03-08</t>
        </is>
      </c>
      <c r="C34" s="21" t="n">
        <v>3</v>
      </c>
      <c r="D34" s="45" t="inlineStr">
        <is>
          <t>Restaurant &amp; Ausgehen</t>
        </is>
      </c>
      <c r="E34" s="45" t="inlineStr">
        <is>
          <t>Wünsche (30%)</t>
        </is>
      </c>
      <c r="F34" s="76" t="inlineStr">
        <is>
          <t>Ausgabe</t>
        </is>
      </c>
      <c r="G34" s="25" t="n">
        <v>68.5</v>
      </c>
      <c r="H34" s="21" t="inlineStr">
        <is>
          <t>Kreditkarte</t>
        </is>
      </c>
      <c r="I34" s="45" t="inlineStr">
        <is>
          <t>Abendessen Restaurant / Pizzeria</t>
        </is>
      </c>
    </row>
    <row r="35" ht="20" customHeight="1">
      <c r="A35" s="21" t="n">
        <v>31</v>
      </c>
      <c r="B35" s="21" t="inlineStr">
        <is>
          <t>2026-03-16</t>
        </is>
      </c>
      <c r="C35" s="21" t="n">
        <v>3</v>
      </c>
      <c r="D35" s="45" t="inlineStr">
        <is>
          <t>Freizeit &amp; Hobbys</t>
        </is>
      </c>
      <c r="E35" s="45" t="inlineStr">
        <is>
          <t>Wünsche (30%)</t>
        </is>
      </c>
      <c r="F35" s="76" t="inlineStr">
        <is>
          <t>Ausgabe</t>
        </is>
      </c>
      <c r="G35" s="25" t="n">
        <v>35</v>
      </c>
      <c r="H35" s="21" t="inlineStr">
        <is>
          <t>Barzahlung</t>
        </is>
      </c>
      <c r="I35" s="45" t="inlineStr">
        <is>
          <t>Kino &amp; Popcorn am Wochenende</t>
        </is>
      </c>
    </row>
    <row r="36" ht="20" customHeight="1">
      <c r="A36" s="21" t="n">
        <v>32</v>
      </c>
      <c r="B36" s="21" t="inlineStr">
        <is>
          <t>2026-03-22</t>
        </is>
      </c>
      <c r="C36" s="21" t="n">
        <v>3</v>
      </c>
      <c r="D36" s="45" t="inlineStr">
        <is>
          <t>Kleidung &amp; Shopping</t>
        </is>
      </c>
      <c r="E36" s="45" t="inlineStr">
        <is>
          <t>Wünsche (30%)</t>
        </is>
      </c>
      <c r="F36" s="76" t="inlineStr">
        <is>
          <t>Ausgabe</t>
        </is>
      </c>
      <c r="G36" s="25" t="n">
        <v>89.90000000000001</v>
      </c>
      <c r="H36" s="21" t="inlineStr">
        <is>
          <t>PayPal</t>
        </is>
      </c>
      <c r="I36" s="45" t="inlineStr">
        <is>
          <t>Bekleidungseinkauf / Schuhe</t>
        </is>
      </c>
    </row>
    <row r="37" ht="20" customHeight="1">
      <c r="A37" s="21" t="n">
        <v>33</v>
      </c>
      <c r="B37" s="21" t="inlineStr">
        <is>
          <t>2026-03-27</t>
        </is>
      </c>
      <c r="C37" s="21" t="n">
        <v>3</v>
      </c>
      <c r="D37" s="45" t="inlineStr">
        <is>
          <t>Restaurant &amp; Ausgehen</t>
        </is>
      </c>
      <c r="E37" s="45" t="inlineStr">
        <is>
          <t>Wünsche (30%)</t>
        </is>
      </c>
      <c r="F37" s="76" t="inlineStr">
        <is>
          <t>Ausgabe</t>
        </is>
      </c>
      <c r="G37" s="25" t="n">
        <v>45</v>
      </c>
      <c r="H37" s="21" t="inlineStr">
        <is>
          <t>Girocard / Debit</t>
        </is>
      </c>
      <c r="I37" s="45" t="inlineStr">
        <is>
          <t>Lieferdienst Pizza / Sushi am Sonntag</t>
        </is>
      </c>
    </row>
    <row r="38" ht="20" customHeight="1">
      <c r="A38" s="21" t="n">
        <v>34</v>
      </c>
      <c r="B38" s="21" t="inlineStr">
        <is>
          <t>2026-03-20</t>
        </is>
      </c>
      <c r="C38" s="21" t="n">
        <v>3</v>
      </c>
      <c r="D38" s="45" t="inlineStr">
        <is>
          <t>Nebenjob / Freiberufliche Tätigkeit</t>
        </is>
      </c>
      <c r="E38" s="45" t="inlineStr">
        <is>
          <t>Grundbedarf (50%)</t>
        </is>
      </c>
      <c r="F38" s="75" t="inlineStr">
        <is>
          <t>Einnahme</t>
        </is>
      </c>
      <c r="G38" s="25" t="n">
        <v>350</v>
      </c>
      <c r="H38" s="21" t="inlineStr">
        <is>
          <t>Banküberweisung</t>
        </is>
      </c>
      <c r="I38" s="45" t="inlineStr">
        <is>
          <t>Honorar freiberufliches Projekt</t>
        </is>
      </c>
    </row>
    <row r="39" ht="20" customHeight="1">
      <c r="A39" s="21" t="n">
        <v>35</v>
      </c>
      <c r="B39" s="21" t="inlineStr">
        <is>
          <t>2026-04-01</t>
        </is>
      </c>
      <c r="C39" s="21" t="n">
        <v>4</v>
      </c>
      <c r="D39" s="45" t="inlineStr">
        <is>
          <t>Gehalt / Lohn (Hauptjob Netto)</t>
        </is>
      </c>
      <c r="E39" s="45" t="inlineStr">
        <is>
          <t>Grundbedarf (50%)</t>
        </is>
      </c>
      <c r="F39" s="75" t="inlineStr">
        <is>
          <t>Einnahme</t>
        </is>
      </c>
      <c r="G39" s="25" t="n">
        <v>2800</v>
      </c>
      <c r="H39" s="21" t="inlineStr">
        <is>
          <t>Banküberweisung</t>
        </is>
      </c>
      <c r="I39" s="45" t="inlineStr">
        <is>
          <t>Arbeitgeber Überweisung Monatsgehalt Netto</t>
        </is>
      </c>
    </row>
    <row r="40" ht="20" customHeight="1">
      <c r="A40" s="21" t="n">
        <v>36</v>
      </c>
      <c r="B40" s="21" t="inlineStr">
        <is>
          <t>2026-04-05</t>
        </is>
      </c>
      <c r="C40" s="21" t="n">
        <v>4</v>
      </c>
      <c r="D40" s="45" t="inlineStr">
        <is>
          <t>Lebensmittel &amp; Haushalt</t>
        </is>
      </c>
      <c r="E40" s="45" t="inlineStr">
        <is>
          <t>Grundbedarf (50%)</t>
        </is>
      </c>
      <c r="F40" s="76" t="inlineStr">
        <is>
          <t>Ausgabe</t>
        </is>
      </c>
      <c r="G40" s="25" t="n">
        <v>115.4</v>
      </c>
      <c r="H40" s="21" t="inlineStr">
        <is>
          <t>Girocard / Debit</t>
        </is>
      </c>
      <c r="I40" s="45" t="inlineStr">
        <is>
          <t>Wocheneinkauf REWE / Edeka</t>
        </is>
      </c>
    </row>
    <row r="41" ht="20" customHeight="1">
      <c r="A41" s="21" t="n">
        <v>37</v>
      </c>
      <c r="B41" s="21" t="inlineStr">
        <is>
          <t>2026-04-12</t>
        </is>
      </c>
      <c r="C41" s="21" t="n">
        <v>4</v>
      </c>
      <c r="D41" s="45" t="inlineStr">
        <is>
          <t>Lebensmittel &amp; Haushalt</t>
        </is>
      </c>
      <c r="E41" s="45" t="inlineStr">
        <is>
          <t>Grundbedarf (50%)</t>
        </is>
      </c>
      <c r="F41" s="76" t="inlineStr">
        <is>
          <t>Ausgabe</t>
        </is>
      </c>
      <c r="G41" s="25" t="n">
        <v>98.59999999999999</v>
      </c>
      <c r="H41" s="21" t="inlineStr">
        <is>
          <t>Girocard / Debit</t>
        </is>
      </c>
      <c r="I41" s="45" t="inlineStr">
        <is>
          <t>Wocheneinkauf ALDI / Lidl</t>
        </is>
      </c>
    </row>
    <row r="42" ht="20" customHeight="1">
      <c r="A42" s="21" t="n">
        <v>38</v>
      </c>
      <c r="B42" s="21" t="inlineStr">
        <is>
          <t>2026-04-15</t>
        </is>
      </c>
      <c r="C42" s="21" t="n">
        <v>4</v>
      </c>
      <c r="D42" s="45" t="inlineStr">
        <is>
          <t>Drogerie &amp; Körperpflege</t>
        </is>
      </c>
      <c r="E42" s="45" t="inlineStr">
        <is>
          <t>Grundbedarf (50%)</t>
        </is>
      </c>
      <c r="F42" s="76" t="inlineStr">
        <is>
          <t>Ausgabe</t>
        </is>
      </c>
      <c r="G42" s="25" t="n">
        <v>42.5</v>
      </c>
      <c r="H42" s="21" t="inlineStr">
        <is>
          <t>Girocard / Debit</t>
        </is>
      </c>
      <c r="I42" s="45" t="inlineStr">
        <is>
          <t>Drogeriemarkt dm / Rossmann</t>
        </is>
      </c>
    </row>
    <row r="43" ht="20" customHeight="1">
      <c r="A43" s="21" t="n">
        <v>39</v>
      </c>
      <c r="B43" s="21" t="inlineStr">
        <is>
          <t>2026-04-19</t>
        </is>
      </c>
      <c r="C43" s="21" t="n">
        <v>4</v>
      </c>
      <c r="D43" s="45" t="inlineStr">
        <is>
          <t>Lebensmittel &amp; Haushalt</t>
        </is>
      </c>
      <c r="E43" s="45" t="inlineStr">
        <is>
          <t>Grundbedarf (50%)</t>
        </is>
      </c>
      <c r="F43" s="76" t="inlineStr">
        <is>
          <t>Ausgabe</t>
        </is>
      </c>
      <c r="G43" s="25" t="n">
        <v>124.3</v>
      </c>
      <c r="H43" s="21" t="inlineStr">
        <is>
          <t>Girocard / Debit</t>
        </is>
      </c>
      <c r="I43" s="45" t="inlineStr">
        <is>
          <t>Großeinkauf Supermarkt &amp; Bäckerei</t>
        </is>
      </c>
    </row>
    <row r="44" ht="20" customHeight="1">
      <c r="A44" s="21" t="n">
        <v>40</v>
      </c>
      <c r="B44" s="21" t="inlineStr">
        <is>
          <t>2026-04-26</t>
        </is>
      </c>
      <c r="C44" s="21" t="n">
        <v>4</v>
      </c>
      <c r="D44" s="45" t="inlineStr">
        <is>
          <t>Lebensmittel &amp; Haushalt</t>
        </is>
      </c>
      <c r="E44" s="45" t="inlineStr">
        <is>
          <t>Grundbedarf (50%)</t>
        </is>
      </c>
      <c r="F44" s="76" t="inlineStr">
        <is>
          <t>Ausgabe</t>
        </is>
      </c>
      <c r="G44" s="25" t="n">
        <v>85.2</v>
      </c>
      <c r="H44" s="21" t="inlineStr">
        <is>
          <t>Girocard / Debit</t>
        </is>
      </c>
      <c r="I44" s="45" t="inlineStr">
        <is>
          <t>Wochenendeinkauf Frischemarkt</t>
        </is>
      </c>
    </row>
    <row r="45" ht="20" customHeight="1">
      <c r="A45" s="21" t="n">
        <v>41</v>
      </c>
      <c r="B45" s="21" t="inlineStr">
        <is>
          <t>2026-04-10</t>
        </is>
      </c>
      <c r="C45" s="21" t="n">
        <v>4</v>
      </c>
      <c r="D45" s="45" t="inlineStr">
        <is>
          <t>Mobilität variabel</t>
        </is>
      </c>
      <c r="E45" s="45" t="inlineStr">
        <is>
          <t>Grundbedarf (50%)</t>
        </is>
      </c>
      <c r="F45" s="76" t="inlineStr">
        <is>
          <t>Ausgabe</t>
        </is>
      </c>
      <c r="G45" s="25" t="n">
        <v>75</v>
      </c>
      <c r="H45" s="21" t="inlineStr">
        <is>
          <t>Kreditkarte</t>
        </is>
      </c>
      <c r="I45" s="45" t="inlineStr">
        <is>
          <t>Aral Tankstelle Kraftstoff</t>
        </is>
      </c>
    </row>
    <row r="46" ht="20" customHeight="1">
      <c r="A46" s="21" t="n">
        <v>42</v>
      </c>
      <c r="B46" s="21" t="inlineStr">
        <is>
          <t>2026-04-08</t>
        </is>
      </c>
      <c r="C46" s="21" t="n">
        <v>4</v>
      </c>
      <c r="D46" s="45" t="inlineStr">
        <is>
          <t>Restaurant &amp; Ausgehen</t>
        </is>
      </c>
      <c r="E46" s="45" t="inlineStr">
        <is>
          <t>Wünsche (30%)</t>
        </is>
      </c>
      <c r="F46" s="76" t="inlineStr">
        <is>
          <t>Ausgabe</t>
        </is>
      </c>
      <c r="G46" s="25" t="n">
        <v>68.5</v>
      </c>
      <c r="H46" s="21" t="inlineStr">
        <is>
          <t>Kreditkarte</t>
        </is>
      </c>
      <c r="I46" s="45" t="inlineStr">
        <is>
          <t>Abendessen Restaurant / Pizzeria</t>
        </is>
      </c>
    </row>
    <row r="47" ht="20" customHeight="1">
      <c r="A47" s="21" t="n">
        <v>43</v>
      </c>
      <c r="B47" s="21" t="inlineStr">
        <is>
          <t>2026-04-16</t>
        </is>
      </c>
      <c r="C47" s="21" t="n">
        <v>4</v>
      </c>
      <c r="D47" s="45" t="inlineStr">
        <is>
          <t>Freizeit &amp; Hobbys</t>
        </is>
      </c>
      <c r="E47" s="45" t="inlineStr">
        <is>
          <t>Wünsche (30%)</t>
        </is>
      </c>
      <c r="F47" s="76" t="inlineStr">
        <is>
          <t>Ausgabe</t>
        </is>
      </c>
      <c r="G47" s="25" t="n">
        <v>35</v>
      </c>
      <c r="H47" s="21" t="inlineStr">
        <is>
          <t>Barzahlung</t>
        </is>
      </c>
      <c r="I47" s="45" t="inlineStr">
        <is>
          <t>Kino &amp; Popcorn am Wochenende</t>
        </is>
      </c>
    </row>
    <row r="48" ht="20" customHeight="1">
      <c r="A48" s="21" t="n">
        <v>44</v>
      </c>
      <c r="B48" s="21" t="inlineStr">
        <is>
          <t>2026-04-22</t>
        </is>
      </c>
      <c r="C48" s="21" t="n">
        <v>4</v>
      </c>
      <c r="D48" s="45" t="inlineStr">
        <is>
          <t>Kleidung &amp; Shopping</t>
        </is>
      </c>
      <c r="E48" s="45" t="inlineStr">
        <is>
          <t>Wünsche (30%)</t>
        </is>
      </c>
      <c r="F48" s="76" t="inlineStr">
        <is>
          <t>Ausgabe</t>
        </is>
      </c>
      <c r="G48" s="25" t="n">
        <v>89.90000000000001</v>
      </c>
      <c r="H48" s="21" t="inlineStr">
        <is>
          <t>PayPal</t>
        </is>
      </c>
      <c r="I48" s="45" t="inlineStr">
        <is>
          <t>Bekleidungseinkauf / Schuhe</t>
        </is>
      </c>
    </row>
    <row r="49" ht="20" customHeight="1">
      <c r="A49" s="21" t="n">
        <v>45</v>
      </c>
      <c r="B49" s="21" t="inlineStr">
        <is>
          <t>2026-04-27</t>
        </is>
      </c>
      <c r="C49" s="21" t="n">
        <v>4</v>
      </c>
      <c r="D49" s="45" t="inlineStr">
        <is>
          <t>Restaurant &amp; Ausgehen</t>
        </is>
      </c>
      <c r="E49" s="45" t="inlineStr">
        <is>
          <t>Wünsche (30%)</t>
        </is>
      </c>
      <c r="F49" s="76" t="inlineStr">
        <is>
          <t>Ausgabe</t>
        </is>
      </c>
      <c r="G49" s="25" t="n">
        <v>45</v>
      </c>
      <c r="H49" s="21" t="inlineStr">
        <is>
          <t>Girocard / Debit</t>
        </is>
      </c>
      <c r="I49" s="45" t="inlineStr">
        <is>
          <t>Lieferdienst Pizza / Sushi am Sonntag</t>
        </is>
      </c>
    </row>
    <row r="50" ht="20" customHeight="1">
      <c r="A50" s="21" t="n">
        <v>46</v>
      </c>
      <c r="B50" s="21" t="inlineStr">
        <is>
          <t>2026-05-01</t>
        </is>
      </c>
      <c r="C50" s="21" t="n">
        <v>5</v>
      </c>
      <c r="D50" s="45" t="inlineStr">
        <is>
          <t>Gehalt / Lohn (Hauptjob Netto)</t>
        </is>
      </c>
      <c r="E50" s="45" t="inlineStr">
        <is>
          <t>Grundbedarf (50%)</t>
        </is>
      </c>
      <c r="F50" s="75" t="inlineStr">
        <is>
          <t>Einnahme</t>
        </is>
      </c>
      <c r="G50" s="25" t="n">
        <v>2800</v>
      </c>
      <c r="H50" s="21" t="inlineStr">
        <is>
          <t>Banküberweisung</t>
        </is>
      </c>
      <c r="I50" s="45" t="inlineStr">
        <is>
          <t>Arbeitgeber Überweisung Monatsgehalt Netto</t>
        </is>
      </c>
    </row>
    <row r="51" ht="20" customHeight="1">
      <c r="A51" s="21" t="n">
        <v>47</v>
      </c>
      <c r="B51" s="21" t="inlineStr">
        <is>
          <t>2026-05-05</t>
        </is>
      </c>
      <c r="C51" s="21" t="n">
        <v>5</v>
      </c>
      <c r="D51" s="45" t="inlineStr">
        <is>
          <t>Lebensmittel &amp; Haushalt</t>
        </is>
      </c>
      <c r="E51" s="45" t="inlineStr">
        <is>
          <t>Grundbedarf (50%)</t>
        </is>
      </c>
      <c r="F51" s="76" t="inlineStr">
        <is>
          <t>Ausgabe</t>
        </is>
      </c>
      <c r="G51" s="25" t="n">
        <v>115.4</v>
      </c>
      <c r="H51" s="21" t="inlineStr">
        <is>
          <t>Girocard / Debit</t>
        </is>
      </c>
      <c r="I51" s="45" t="inlineStr">
        <is>
          <t>Wocheneinkauf REWE / Edeka</t>
        </is>
      </c>
    </row>
    <row r="52" ht="20" customHeight="1">
      <c r="A52" s="21" t="n">
        <v>48</v>
      </c>
      <c r="B52" s="21" t="inlineStr">
        <is>
          <t>2026-05-12</t>
        </is>
      </c>
      <c r="C52" s="21" t="n">
        <v>5</v>
      </c>
      <c r="D52" s="45" t="inlineStr">
        <is>
          <t>Lebensmittel &amp; Haushalt</t>
        </is>
      </c>
      <c r="E52" s="45" t="inlineStr">
        <is>
          <t>Grundbedarf (50%)</t>
        </is>
      </c>
      <c r="F52" s="76" t="inlineStr">
        <is>
          <t>Ausgabe</t>
        </is>
      </c>
      <c r="G52" s="25" t="n">
        <v>98.59999999999999</v>
      </c>
      <c r="H52" s="21" t="inlineStr">
        <is>
          <t>Girocard / Debit</t>
        </is>
      </c>
      <c r="I52" s="45" t="inlineStr">
        <is>
          <t>Wocheneinkauf ALDI / Lidl</t>
        </is>
      </c>
    </row>
    <row r="53" ht="20" customHeight="1">
      <c r="A53" s="21" t="n">
        <v>49</v>
      </c>
      <c r="B53" s="21" t="inlineStr">
        <is>
          <t>2026-05-15</t>
        </is>
      </c>
      <c r="C53" s="21" t="n">
        <v>5</v>
      </c>
      <c r="D53" s="45" t="inlineStr">
        <is>
          <t>Drogerie &amp; Körperpflege</t>
        </is>
      </c>
      <c r="E53" s="45" t="inlineStr">
        <is>
          <t>Grundbedarf (50%)</t>
        </is>
      </c>
      <c r="F53" s="76" t="inlineStr">
        <is>
          <t>Ausgabe</t>
        </is>
      </c>
      <c r="G53" s="25" t="n">
        <v>42.5</v>
      </c>
      <c r="H53" s="21" t="inlineStr">
        <is>
          <t>Girocard / Debit</t>
        </is>
      </c>
      <c r="I53" s="45" t="inlineStr">
        <is>
          <t>Drogeriemarkt dm / Rossmann</t>
        </is>
      </c>
    </row>
    <row r="54" ht="20" customHeight="1">
      <c r="A54" s="21" t="n">
        <v>50</v>
      </c>
      <c r="B54" s="21" t="inlineStr">
        <is>
          <t>2026-05-19</t>
        </is>
      </c>
      <c r="C54" s="21" t="n">
        <v>5</v>
      </c>
      <c r="D54" s="45" t="inlineStr">
        <is>
          <t>Lebensmittel &amp; Haushalt</t>
        </is>
      </c>
      <c r="E54" s="45" t="inlineStr">
        <is>
          <t>Grundbedarf (50%)</t>
        </is>
      </c>
      <c r="F54" s="76" t="inlineStr">
        <is>
          <t>Ausgabe</t>
        </is>
      </c>
      <c r="G54" s="25" t="n">
        <v>124.3</v>
      </c>
      <c r="H54" s="21" t="inlineStr">
        <is>
          <t>Girocard / Debit</t>
        </is>
      </c>
      <c r="I54" s="45" t="inlineStr">
        <is>
          <t>Großeinkauf Supermarkt &amp; Bäckerei</t>
        </is>
      </c>
    </row>
    <row r="55" ht="20" customHeight="1">
      <c r="A55" s="21" t="n">
        <v>51</v>
      </c>
      <c r="B55" s="21" t="inlineStr">
        <is>
          <t>2026-05-26</t>
        </is>
      </c>
      <c r="C55" s="21" t="n">
        <v>5</v>
      </c>
      <c r="D55" s="45" t="inlineStr">
        <is>
          <t>Lebensmittel &amp; Haushalt</t>
        </is>
      </c>
      <c r="E55" s="45" t="inlineStr">
        <is>
          <t>Grundbedarf (50%)</t>
        </is>
      </c>
      <c r="F55" s="76" t="inlineStr">
        <is>
          <t>Ausgabe</t>
        </is>
      </c>
      <c r="G55" s="25" t="n">
        <v>85.2</v>
      </c>
      <c r="H55" s="21" t="inlineStr">
        <is>
          <t>Girocard / Debit</t>
        </is>
      </c>
      <c r="I55" s="45" t="inlineStr">
        <is>
          <t>Wochenendeinkauf Frischemarkt</t>
        </is>
      </c>
    </row>
    <row r="56" ht="20" customHeight="1">
      <c r="A56" s="21" t="n">
        <v>52</v>
      </c>
      <c r="B56" s="21" t="inlineStr">
        <is>
          <t>2026-05-10</t>
        </is>
      </c>
      <c r="C56" s="21" t="n">
        <v>5</v>
      </c>
      <c r="D56" s="45" t="inlineStr">
        <is>
          <t>Mobilität variabel</t>
        </is>
      </c>
      <c r="E56" s="45" t="inlineStr">
        <is>
          <t>Grundbedarf (50%)</t>
        </is>
      </c>
      <c r="F56" s="76" t="inlineStr">
        <is>
          <t>Ausgabe</t>
        </is>
      </c>
      <c r="G56" s="25" t="n">
        <v>75</v>
      </c>
      <c r="H56" s="21" t="inlineStr">
        <is>
          <t>Kreditkarte</t>
        </is>
      </c>
      <c r="I56" s="45" t="inlineStr">
        <is>
          <t>Aral Tankstelle Kraftstoff</t>
        </is>
      </c>
    </row>
    <row r="57" ht="20" customHeight="1">
      <c r="A57" s="21" t="n">
        <v>53</v>
      </c>
      <c r="B57" s="21" t="inlineStr">
        <is>
          <t>2026-05-08</t>
        </is>
      </c>
      <c r="C57" s="21" t="n">
        <v>5</v>
      </c>
      <c r="D57" s="45" t="inlineStr">
        <is>
          <t>Restaurant &amp; Ausgehen</t>
        </is>
      </c>
      <c r="E57" s="45" t="inlineStr">
        <is>
          <t>Wünsche (30%)</t>
        </is>
      </c>
      <c r="F57" s="76" t="inlineStr">
        <is>
          <t>Ausgabe</t>
        </is>
      </c>
      <c r="G57" s="25" t="n">
        <v>68.5</v>
      </c>
      <c r="H57" s="21" t="inlineStr">
        <is>
          <t>Kreditkarte</t>
        </is>
      </c>
      <c r="I57" s="45" t="inlineStr">
        <is>
          <t>Abendessen Restaurant / Pizzeria</t>
        </is>
      </c>
    </row>
    <row r="58" ht="20" customHeight="1">
      <c r="A58" s="21" t="n">
        <v>54</v>
      </c>
      <c r="B58" s="21" t="inlineStr">
        <is>
          <t>2026-05-16</t>
        </is>
      </c>
      <c r="C58" s="21" t="n">
        <v>5</v>
      </c>
      <c r="D58" s="45" t="inlineStr">
        <is>
          <t>Freizeit &amp; Hobbys</t>
        </is>
      </c>
      <c r="E58" s="45" t="inlineStr">
        <is>
          <t>Wünsche (30%)</t>
        </is>
      </c>
      <c r="F58" s="76" t="inlineStr">
        <is>
          <t>Ausgabe</t>
        </is>
      </c>
      <c r="G58" s="25" t="n">
        <v>35</v>
      </c>
      <c r="H58" s="21" t="inlineStr">
        <is>
          <t>Barzahlung</t>
        </is>
      </c>
      <c r="I58" s="45" t="inlineStr">
        <is>
          <t>Kino &amp; Popcorn am Wochenende</t>
        </is>
      </c>
    </row>
    <row r="59" ht="20" customHeight="1">
      <c r="A59" s="21" t="n">
        <v>55</v>
      </c>
      <c r="B59" s="21" t="inlineStr">
        <is>
          <t>2026-05-22</t>
        </is>
      </c>
      <c r="C59" s="21" t="n">
        <v>5</v>
      </c>
      <c r="D59" s="45" t="inlineStr">
        <is>
          <t>Kleidung &amp; Shopping</t>
        </is>
      </c>
      <c r="E59" s="45" t="inlineStr">
        <is>
          <t>Wünsche (30%)</t>
        </is>
      </c>
      <c r="F59" s="76" t="inlineStr">
        <is>
          <t>Ausgabe</t>
        </is>
      </c>
      <c r="G59" s="25" t="n">
        <v>89.90000000000001</v>
      </c>
      <c r="H59" s="21" t="inlineStr">
        <is>
          <t>PayPal</t>
        </is>
      </c>
      <c r="I59" s="45" t="inlineStr">
        <is>
          <t>Bekleidungseinkauf / Schuhe</t>
        </is>
      </c>
    </row>
    <row r="60" ht="20" customHeight="1">
      <c r="A60" s="21" t="n">
        <v>56</v>
      </c>
      <c r="B60" s="21" t="inlineStr">
        <is>
          <t>2026-05-27</t>
        </is>
      </c>
      <c r="C60" s="21" t="n">
        <v>5</v>
      </c>
      <c r="D60" s="45" t="inlineStr">
        <is>
          <t>Restaurant &amp; Ausgehen</t>
        </is>
      </c>
      <c r="E60" s="45" t="inlineStr">
        <is>
          <t>Wünsche (30%)</t>
        </is>
      </c>
      <c r="F60" s="76" t="inlineStr">
        <is>
          <t>Ausgabe</t>
        </is>
      </c>
      <c r="G60" s="25" t="n">
        <v>45</v>
      </c>
      <c r="H60" s="21" t="inlineStr">
        <is>
          <t>Girocard / Debit</t>
        </is>
      </c>
      <c r="I60" s="45" t="inlineStr">
        <is>
          <t>Lieferdienst Pizza / Sushi am Sonntag</t>
        </is>
      </c>
    </row>
    <row r="61" ht="20" customHeight="1">
      <c r="A61" s="21" t="n">
        <v>57</v>
      </c>
      <c r="B61" s="21" t="inlineStr">
        <is>
          <t>2026-06-01</t>
        </is>
      </c>
      <c r="C61" s="21" t="n">
        <v>6</v>
      </c>
      <c r="D61" s="45" t="inlineStr">
        <is>
          <t>Gehalt / Lohn (Hauptjob Netto)</t>
        </is>
      </c>
      <c r="E61" s="45" t="inlineStr">
        <is>
          <t>Grundbedarf (50%)</t>
        </is>
      </c>
      <c r="F61" s="75" t="inlineStr">
        <is>
          <t>Einnahme</t>
        </is>
      </c>
      <c r="G61" s="25" t="n">
        <v>3200</v>
      </c>
      <c r="H61" s="21" t="inlineStr">
        <is>
          <t>Banküberweisung</t>
        </is>
      </c>
      <c r="I61" s="45" t="inlineStr">
        <is>
          <t>Arbeitgeber Überweisung Monatsgehalt Netto</t>
        </is>
      </c>
    </row>
    <row r="62" ht="20" customHeight="1">
      <c r="A62" s="21" t="n">
        <v>58</v>
      </c>
      <c r="B62" s="21" t="inlineStr">
        <is>
          <t>2026-06-05</t>
        </is>
      </c>
      <c r="C62" s="21" t="n">
        <v>6</v>
      </c>
      <c r="D62" s="45" t="inlineStr">
        <is>
          <t>Lebensmittel &amp; Haushalt</t>
        </is>
      </c>
      <c r="E62" s="45" t="inlineStr">
        <is>
          <t>Grundbedarf (50%)</t>
        </is>
      </c>
      <c r="F62" s="76" t="inlineStr">
        <is>
          <t>Ausgabe</t>
        </is>
      </c>
      <c r="G62" s="25" t="n">
        <v>115.4</v>
      </c>
      <c r="H62" s="21" t="inlineStr">
        <is>
          <t>Girocard / Debit</t>
        </is>
      </c>
      <c r="I62" s="45" t="inlineStr">
        <is>
          <t>Wocheneinkauf REWE / Edeka</t>
        </is>
      </c>
    </row>
    <row r="63" ht="20" customHeight="1">
      <c r="A63" s="21" t="n">
        <v>59</v>
      </c>
      <c r="B63" s="21" t="inlineStr">
        <is>
          <t>2026-06-12</t>
        </is>
      </c>
      <c r="C63" s="21" t="n">
        <v>6</v>
      </c>
      <c r="D63" s="45" t="inlineStr">
        <is>
          <t>Lebensmittel &amp; Haushalt</t>
        </is>
      </c>
      <c r="E63" s="45" t="inlineStr">
        <is>
          <t>Grundbedarf (50%)</t>
        </is>
      </c>
      <c r="F63" s="76" t="inlineStr">
        <is>
          <t>Ausgabe</t>
        </is>
      </c>
      <c r="G63" s="25" t="n">
        <v>98.59999999999999</v>
      </c>
      <c r="H63" s="21" t="inlineStr">
        <is>
          <t>Girocard / Debit</t>
        </is>
      </c>
      <c r="I63" s="45" t="inlineStr">
        <is>
          <t>Wocheneinkauf ALDI / Lidl</t>
        </is>
      </c>
    </row>
    <row r="64" ht="20" customHeight="1">
      <c r="A64" s="21" t="n">
        <v>60</v>
      </c>
      <c r="B64" s="21" t="inlineStr">
        <is>
          <t>2026-06-15</t>
        </is>
      </c>
      <c r="C64" s="21" t="n">
        <v>6</v>
      </c>
      <c r="D64" s="45" t="inlineStr">
        <is>
          <t>Drogerie &amp; Körperpflege</t>
        </is>
      </c>
      <c r="E64" s="45" t="inlineStr">
        <is>
          <t>Grundbedarf (50%)</t>
        </is>
      </c>
      <c r="F64" s="76" t="inlineStr">
        <is>
          <t>Ausgabe</t>
        </is>
      </c>
      <c r="G64" s="25" t="n">
        <v>42.5</v>
      </c>
      <c r="H64" s="21" t="inlineStr">
        <is>
          <t>Girocard / Debit</t>
        </is>
      </c>
      <c r="I64" s="45" t="inlineStr">
        <is>
          <t>Drogeriemarkt dm / Rossmann</t>
        </is>
      </c>
    </row>
    <row r="65" ht="20" customHeight="1">
      <c r="A65" s="21" t="n">
        <v>61</v>
      </c>
      <c r="B65" s="21" t="inlineStr">
        <is>
          <t>2026-06-19</t>
        </is>
      </c>
      <c r="C65" s="21" t="n">
        <v>6</v>
      </c>
      <c r="D65" s="45" t="inlineStr">
        <is>
          <t>Lebensmittel &amp; Haushalt</t>
        </is>
      </c>
      <c r="E65" s="45" t="inlineStr">
        <is>
          <t>Grundbedarf (50%)</t>
        </is>
      </c>
      <c r="F65" s="76" t="inlineStr">
        <is>
          <t>Ausgabe</t>
        </is>
      </c>
      <c r="G65" s="25" t="n">
        <v>124.3</v>
      </c>
      <c r="H65" s="21" t="inlineStr">
        <is>
          <t>Girocard / Debit</t>
        </is>
      </c>
      <c r="I65" s="45" t="inlineStr">
        <is>
          <t>Großeinkauf Supermarkt &amp; Bäckerei</t>
        </is>
      </c>
    </row>
    <row r="66" ht="20" customHeight="1">
      <c r="A66" s="21" t="n">
        <v>62</v>
      </c>
      <c r="B66" s="21" t="inlineStr">
        <is>
          <t>2026-06-26</t>
        </is>
      </c>
      <c r="C66" s="21" t="n">
        <v>6</v>
      </c>
      <c r="D66" s="45" t="inlineStr">
        <is>
          <t>Lebensmittel &amp; Haushalt</t>
        </is>
      </c>
      <c r="E66" s="45" t="inlineStr">
        <is>
          <t>Grundbedarf (50%)</t>
        </is>
      </c>
      <c r="F66" s="76" t="inlineStr">
        <is>
          <t>Ausgabe</t>
        </is>
      </c>
      <c r="G66" s="25" t="n">
        <v>85.2</v>
      </c>
      <c r="H66" s="21" t="inlineStr">
        <is>
          <t>Girocard / Debit</t>
        </is>
      </c>
      <c r="I66" s="45" t="inlineStr">
        <is>
          <t>Wochenendeinkauf Frischemarkt</t>
        </is>
      </c>
    </row>
    <row r="67" ht="20" customHeight="1">
      <c r="A67" s="21" t="n">
        <v>63</v>
      </c>
      <c r="B67" s="21" t="inlineStr">
        <is>
          <t>2026-06-10</t>
        </is>
      </c>
      <c r="C67" s="21" t="n">
        <v>6</v>
      </c>
      <c r="D67" s="45" t="inlineStr">
        <is>
          <t>Mobilität variabel</t>
        </is>
      </c>
      <c r="E67" s="45" t="inlineStr">
        <is>
          <t>Grundbedarf (50%)</t>
        </is>
      </c>
      <c r="F67" s="76" t="inlineStr">
        <is>
          <t>Ausgabe</t>
        </is>
      </c>
      <c r="G67" s="25" t="n">
        <v>75</v>
      </c>
      <c r="H67" s="21" t="inlineStr">
        <is>
          <t>Kreditkarte</t>
        </is>
      </c>
      <c r="I67" s="45" t="inlineStr">
        <is>
          <t>Aral Tankstelle Kraftstoff</t>
        </is>
      </c>
    </row>
    <row r="68" ht="20" customHeight="1">
      <c r="A68" s="21" t="n">
        <v>64</v>
      </c>
      <c r="B68" s="21" t="inlineStr">
        <is>
          <t>2026-06-08</t>
        </is>
      </c>
      <c r="C68" s="21" t="n">
        <v>6</v>
      </c>
      <c r="D68" s="45" t="inlineStr">
        <is>
          <t>Restaurant &amp; Ausgehen</t>
        </is>
      </c>
      <c r="E68" s="45" t="inlineStr">
        <is>
          <t>Wünsche (30%)</t>
        </is>
      </c>
      <c r="F68" s="76" t="inlineStr">
        <is>
          <t>Ausgabe</t>
        </is>
      </c>
      <c r="G68" s="25" t="n">
        <v>68.5</v>
      </c>
      <c r="H68" s="21" t="inlineStr">
        <is>
          <t>Kreditkarte</t>
        </is>
      </c>
      <c r="I68" s="45" t="inlineStr">
        <is>
          <t>Abendessen Restaurant / Pizzeria</t>
        </is>
      </c>
    </row>
    <row r="69" ht="20" customHeight="1">
      <c r="A69" s="21" t="n">
        <v>65</v>
      </c>
      <c r="B69" s="21" t="inlineStr">
        <is>
          <t>2026-06-16</t>
        </is>
      </c>
      <c r="C69" s="21" t="n">
        <v>6</v>
      </c>
      <c r="D69" s="45" t="inlineStr">
        <is>
          <t>Freizeit &amp; Hobbys</t>
        </is>
      </c>
      <c r="E69" s="45" t="inlineStr">
        <is>
          <t>Wünsche (30%)</t>
        </is>
      </c>
      <c r="F69" s="76" t="inlineStr">
        <is>
          <t>Ausgabe</t>
        </is>
      </c>
      <c r="G69" s="25" t="n">
        <v>35</v>
      </c>
      <c r="H69" s="21" t="inlineStr">
        <is>
          <t>Barzahlung</t>
        </is>
      </c>
      <c r="I69" s="45" t="inlineStr">
        <is>
          <t>Kino &amp; Popcorn am Wochenende</t>
        </is>
      </c>
    </row>
    <row r="70" ht="20" customHeight="1">
      <c r="A70" s="21" t="n">
        <v>66</v>
      </c>
      <c r="B70" s="21" t="inlineStr">
        <is>
          <t>2026-06-22</t>
        </is>
      </c>
      <c r="C70" s="21" t="n">
        <v>6</v>
      </c>
      <c r="D70" s="45" t="inlineStr">
        <is>
          <t>Kleidung &amp; Shopping</t>
        </is>
      </c>
      <c r="E70" s="45" t="inlineStr">
        <is>
          <t>Wünsche (30%)</t>
        </is>
      </c>
      <c r="F70" s="76" t="inlineStr">
        <is>
          <t>Ausgabe</t>
        </is>
      </c>
      <c r="G70" s="25" t="n">
        <v>89.90000000000001</v>
      </c>
      <c r="H70" s="21" t="inlineStr">
        <is>
          <t>PayPal</t>
        </is>
      </c>
      <c r="I70" s="45" t="inlineStr">
        <is>
          <t>Bekleidungseinkauf / Schuhe</t>
        </is>
      </c>
    </row>
    <row r="71" ht="20" customHeight="1">
      <c r="A71" s="21" t="n">
        <v>67</v>
      </c>
      <c r="B71" s="21" t="inlineStr">
        <is>
          <t>2026-06-27</t>
        </is>
      </c>
      <c r="C71" s="21" t="n">
        <v>6</v>
      </c>
      <c r="D71" s="45" t="inlineStr">
        <is>
          <t>Restaurant &amp; Ausgehen</t>
        </is>
      </c>
      <c r="E71" s="45" t="inlineStr">
        <is>
          <t>Wünsche (30%)</t>
        </is>
      </c>
      <c r="F71" s="76" t="inlineStr">
        <is>
          <t>Ausgabe</t>
        </is>
      </c>
      <c r="G71" s="25" t="n">
        <v>45</v>
      </c>
      <c r="H71" s="21" t="inlineStr">
        <is>
          <t>Girocard / Debit</t>
        </is>
      </c>
      <c r="I71" s="45" t="inlineStr">
        <is>
          <t>Lieferdienst Pizza / Sushi am Sonntag</t>
        </is>
      </c>
    </row>
    <row r="72" ht="20" customHeight="1">
      <c r="A72" s="21" t="n">
        <v>68</v>
      </c>
      <c r="B72" s="21" t="inlineStr">
        <is>
          <t>2026-07-01</t>
        </is>
      </c>
      <c r="C72" s="21" t="n">
        <v>7</v>
      </c>
      <c r="D72" s="45" t="inlineStr">
        <is>
          <t>Gehalt / Lohn (Hauptjob Netto)</t>
        </is>
      </c>
      <c r="E72" s="45" t="inlineStr">
        <is>
          <t>Grundbedarf (50%)</t>
        </is>
      </c>
      <c r="F72" s="75" t="inlineStr">
        <is>
          <t>Einnahme</t>
        </is>
      </c>
      <c r="G72" s="25" t="n">
        <v>2800</v>
      </c>
      <c r="H72" s="21" t="inlineStr">
        <is>
          <t>Banküberweisung</t>
        </is>
      </c>
      <c r="I72" s="45" t="inlineStr">
        <is>
          <t>Arbeitgeber Überweisung Monatsgehalt Netto</t>
        </is>
      </c>
    </row>
    <row r="73" ht="20" customHeight="1">
      <c r="A73" s="21" t="n">
        <v>69</v>
      </c>
      <c r="B73" s="21" t="inlineStr">
        <is>
          <t>2026-07-05</t>
        </is>
      </c>
      <c r="C73" s="21" t="n">
        <v>7</v>
      </c>
      <c r="D73" s="45" t="inlineStr">
        <is>
          <t>Lebensmittel &amp; Haushalt</t>
        </is>
      </c>
      <c r="E73" s="45" t="inlineStr">
        <is>
          <t>Grundbedarf (50%)</t>
        </is>
      </c>
      <c r="F73" s="76" t="inlineStr">
        <is>
          <t>Ausgabe</t>
        </is>
      </c>
      <c r="G73" s="25" t="n">
        <v>115.4</v>
      </c>
      <c r="H73" s="21" t="inlineStr">
        <is>
          <t>Girocard / Debit</t>
        </is>
      </c>
      <c r="I73" s="45" t="inlineStr">
        <is>
          <t>Wocheneinkauf REWE / Edeka</t>
        </is>
      </c>
    </row>
    <row r="74" ht="20" customHeight="1">
      <c r="A74" s="21" t="n">
        <v>70</v>
      </c>
      <c r="B74" s="21" t="inlineStr">
        <is>
          <t>2026-07-12</t>
        </is>
      </c>
      <c r="C74" s="21" t="n">
        <v>7</v>
      </c>
      <c r="D74" s="45" t="inlineStr">
        <is>
          <t>Lebensmittel &amp; Haushalt</t>
        </is>
      </c>
      <c r="E74" s="45" t="inlineStr">
        <is>
          <t>Grundbedarf (50%)</t>
        </is>
      </c>
      <c r="F74" s="76" t="inlineStr">
        <is>
          <t>Ausgabe</t>
        </is>
      </c>
      <c r="G74" s="25" t="n">
        <v>98.59999999999999</v>
      </c>
      <c r="H74" s="21" t="inlineStr">
        <is>
          <t>Girocard / Debit</t>
        </is>
      </c>
      <c r="I74" s="45" t="inlineStr">
        <is>
          <t>Wocheneinkauf ALDI / Lidl</t>
        </is>
      </c>
    </row>
    <row r="75" ht="20" customHeight="1">
      <c r="A75" s="21" t="n">
        <v>71</v>
      </c>
      <c r="B75" s="21" t="inlineStr">
        <is>
          <t>2026-07-15</t>
        </is>
      </c>
      <c r="C75" s="21" t="n">
        <v>7</v>
      </c>
      <c r="D75" s="45" t="inlineStr">
        <is>
          <t>Drogerie &amp; Körperpflege</t>
        </is>
      </c>
      <c r="E75" s="45" t="inlineStr">
        <is>
          <t>Grundbedarf (50%)</t>
        </is>
      </c>
      <c r="F75" s="76" t="inlineStr">
        <is>
          <t>Ausgabe</t>
        </is>
      </c>
      <c r="G75" s="25" t="n">
        <v>42.5</v>
      </c>
      <c r="H75" s="21" t="inlineStr">
        <is>
          <t>Girocard / Debit</t>
        </is>
      </c>
      <c r="I75" s="45" t="inlineStr">
        <is>
          <t>Drogeriemarkt dm / Rossmann</t>
        </is>
      </c>
    </row>
    <row r="76" ht="20" customHeight="1">
      <c r="A76" s="21" t="n">
        <v>72</v>
      </c>
      <c r="B76" s="21" t="inlineStr">
        <is>
          <t>2026-07-19</t>
        </is>
      </c>
      <c r="C76" s="21" t="n">
        <v>7</v>
      </c>
      <c r="D76" s="45" t="inlineStr">
        <is>
          <t>Lebensmittel &amp; Haushalt</t>
        </is>
      </c>
      <c r="E76" s="45" t="inlineStr">
        <is>
          <t>Grundbedarf (50%)</t>
        </is>
      </c>
      <c r="F76" s="76" t="inlineStr">
        <is>
          <t>Ausgabe</t>
        </is>
      </c>
      <c r="G76" s="25" t="n">
        <v>124.3</v>
      </c>
      <c r="H76" s="21" t="inlineStr">
        <is>
          <t>Girocard / Debit</t>
        </is>
      </c>
      <c r="I76" s="45" t="inlineStr">
        <is>
          <t>Großeinkauf Supermarkt &amp; Bäckerei</t>
        </is>
      </c>
    </row>
    <row r="77" ht="20" customHeight="1">
      <c r="A77" s="21" t="n">
        <v>73</v>
      </c>
      <c r="B77" s="21" t="inlineStr">
        <is>
          <t>2026-07-26</t>
        </is>
      </c>
      <c r="C77" s="21" t="n">
        <v>7</v>
      </c>
      <c r="D77" s="45" t="inlineStr">
        <is>
          <t>Lebensmittel &amp; Haushalt</t>
        </is>
      </c>
      <c r="E77" s="45" t="inlineStr">
        <is>
          <t>Grundbedarf (50%)</t>
        </is>
      </c>
      <c r="F77" s="76" t="inlineStr">
        <is>
          <t>Ausgabe</t>
        </is>
      </c>
      <c r="G77" s="25" t="n">
        <v>85.2</v>
      </c>
      <c r="H77" s="21" t="inlineStr">
        <is>
          <t>Girocard / Debit</t>
        </is>
      </c>
      <c r="I77" s="45" t="inlineStr">
        <is>
          <t>Wochenendeinkauf Frischemarkt</t>
        </is>
      </c>
    </row>
    <row r="78" ht="20" customHeight="1">
      <c r="A78" s="21" t="n">
        <v>74</v>
      </c>
      <c r="B78" s="21" t="inlineStr">
        <is>
          <t>2026-07-10</t>
        </is>
      </c>
      <c r="C78" s="21" t="n">
        <v>7</v>
      </c>
      <c r="D78" s="45" t="inlineStr">
        <is>
          <t>Mobilität variabel</t>
        </is>
      </c>
      <c r="E78" s="45" t="inlineStr">
        <is>
          <t>Grundbedarf (50%)</t>
        </is>
      </c>
      <c r="F78" s="76" t="inlineStr">
        <is>
          <t>Ausgabe</t>
        </is>
      </c>
      <c r="G78" s="25" t="n">
        <v>75</v>
      </c>
      <c r="H78" s="21" t="inlineStr">
        <is>
          <t>Kreditkarte</t>
        </is>
      </c>
      <c r="I78" s="45" t="inlineStr">
        <is>
          <t>Aral Tankstelle Kraftstoff</t>
        </is>
      </c>
    </row>
    <row r="79" ht="20" customHeight="1">
      <c r="A79" s="21" t="n">
        <v>75</v>
      </c>
      <c r="B79" s="21" t="inlineStr">
        <is>
          <t>2026-07-08</t>
        </is>
      </c>
      <c r="C79" s="21" t="n">
        <v>7</v>
      </c>
      <c r="D79" s="45" t="inlineStr">
        <is>
          <t>Restaurant &amp; Ausgehen</t>
        </is>
      </c>
      <c r="E79" s="45" t="inlineStr">
        <is>
          <t>Wünsche (30%)</t>
        </is>
      </c>
      <c r="F79" s="76" t="inlineStr">
        <is>
          <t>Ausgabe</t>
        </is>
      </c>
      <c r="G79" s="25" t="n">
        <v>68.5</v>
      </c>
      <c r="H79" s="21" t="inlineStr">
        <is>
          <t>Kreditkarte</t>
        </is>
      </c>
      <c r="I79" s="45" t="inlineStr">
        <is>
          <t>Abendessen Restaurant / Pizzeria</t>
        </is>
      </c>
    </row>
    <row r="80" ht="20" customHeight="1">
      <c r="A80" s="21" t="n">
        <v>76</v>
      </c>
      <c r="B80" s="21" t="inlineStr">
        <is>
          <t>2026-07-16</t>
        </is>
      </c>
      <c r="C80" s="21" t="n">
        <v>7</v>
      </c>
      <c r="D80" s="45" t="inlineStr">
        <is>
          <t>Freizeit &amp; Hobbys</t>
        </is>
      </c>
      <c r="E80" s="45" t="inlineStr">
        <is>
          <t>Wünsche (30%)</t>
        </is>
      </c>
      <c r="F80" s="76" t="inlineStr">
        <is>
          <t>Ausgabe</t>
        </is>
      </c>
      <c r="G80" s="25" t="n">
        <v>35</v>
      </c>
      <c r="H80" s="21" t="inlineStr">
        <is>
          <t>Barzahlung</t>
        </is>
      </c>
      <c r="I80" s="45" t="inlineStr">
        <is>
          <t>Kino &amp; Popcorn am Wochenende</t>
        </is>
      </c>
    </row>
    <row r="81" ht="20" customHeight="1">
      <c r="A81" s="21" t="n">
        <v>77</v>
      </c>
      <c r="B81" s="21" t="inlineStr">
        <is>
          <t>2026-07-22</t>
        </is>
      </c>
      <c r="C81" s="21" t="n">
        <v>7</v>
      </c>
      <c r="D81" s="45" t="inlineStr">
        <is>
          <t>Kleidung &amp; Shopping</t>
        </is>
      </c>
      <c r="E81" s="45" t="inlineStr">
        <is>
          <t>Wünsche (30%)</t>
        </is>
      </c>
      <c r="F81" s="76" t="inlineStr">
        <is>
          <t>Ausgabe</t>
        </is>
      </c>
      <c r="G81" s="25" t="n">
        <v>89.90000000000001</v>
      </c>
      <c r="H81" s="21" t="inlineStr">
        <is>
          <t>PayPal</t>
        </is>
      </c>
      <c r="I81" s="45" t="inlineStr">
        <is>
          <t>Bekleidungseinkauf / Schuhe</t>
        </is>
      </c>
    </row>
    <row r="82" ht="20" customHeight="1">
      <c r="A82" s="21" t="n">
        <v>78</v>
      </c>
      <c r="B82" s="21" t="inlineStr">
        <is>
          <t>2026-07-27</t>
        </is>
      </c>
      <c r="C82" s="21" t="n">
        <v>7</v>
      </c>
      <c r="D82" s="45" t="inlineStr">
        <is>
          <t>Restaurant &amp; Ausgehen</t>
        </is>
      </c>
      <c r="E82" s="45" t="inlineStr">
        <is>
          <t>Wünsche (30%)</t>
        </is>
      </c>
      <c r="F82" s="76" t="inlineStr">
        <is>
          <t>Ausgabe</t>
        </is>
      </c>
      <c r="G82" s="25" t="n">
        <v>45</v>
      </c>
      <c r="H82" s="21" t="inlineStr">
        <is>
          <t>Girocard / Debit</t>
        </is>
      </c>
      <c r="I82" s="45" t="inlineStr">
        <is>
          <t>Lieferdienst Pizza / Sushi am Sonntag</t>
        </is>
      </c>
    </row>
    <row r="83" ht="20" customHeight="1">
      <c r="A83" s="21" t="n">
        <v>79</v>
      </c>
      <c r="B83" s="21" t="inlineStr">
        <is>
          <t>2026-07-14</t>
        </is>
      </c>
      <c r="C83" s="21" t="n">
        <v>7</v>
      </c>
      <c r="D83" s="45" t="inlineStr">
        <is>
          <t>Urlaub &amp; Reisen</t>
        </is>
      </c>
      <c r="E83" s="45" t="inlineStr">
        <is>
          <t>Wünsche (30%)</t>
        </is>
      </c>
      <c r="F83" s="76" t="inlineStr">
        <is>
          <t>Ausgabe</t>
        </is>
      </c>
      <c r="G83" s="25" t="n">
        <v>450</v>
      </c>
      <c r="H83" s="21" t="inlineStr">
        <is>
          <t>Kreditkarte</t>
        </is>
      </c>
      <c r="I83" s="45" t="inlineStr">
        <is>
          <t>Sommerurlaub Hotel-Anzahlung</t>
        </is>
      </c>
    </row>
    <row r="84" ht="20" customHeight="1">
      <c r="A84" s="21" t="n">
        <v>80</v>
      </c>
      <c r="B84" s="21" t="inlineStr">
        <is>
          <t>2026-08-01</t>
        </is>
      </c>
      <c r="C84" s="21" t="n">
        <v>8</v>
      </c>
      <c r="D84" s="45" t="inlineStr">
        <is>
          <t>Gehalt / Lohn (Hauptjob Netto)</t>
        </is>
      </c>
      <c r="E84" s="45" t="inlineStr">
        <is>
          <t>Grundbedarf (50%)</t>
        </is>
      </c>
      <c r="F84" s="75" t="inlineStr">
        <is>
          <t>Einnahme</t>
        </is>
      </c>
      <c r="G84" s="25" t="n">
        <v>2800</v>
      </c>
      <c r="H84" s="21" t="inlineStr">
        <is>
          <t>Banküberweisung</t>
        </is>
      </c>
      <c r="I84" s="45" t="inlineStr">
        <is>
          <t>Arbeitgeber Überweisung Monatsgehalt Netto</t>
        </is>
      </c>
    </row>
    <row r="85" ht="20" customHeight="1">
      <c r="A85" s="21" t="n">
        <v>81</v>
      </c>
      <c r="B85" s="21" t="inlineStr">
        <is>
          <t>2026-08-05</t>
        </is>
      </c>
      <c r="C85" s="21" t="n">
        <v>8</v>
      </c>
      <c r="D85" s="45" t="inlineStr">
        <is>
          <t>Lebensmittel &amp; Haushalt</t>
        </is>
      </c>
      <c r="E85" s="45" t="inlineStr">
        <is>
          <t>Grundbedarf (50%)</t>
        </is>
      </c>
      <c r="F85" s="76" t="inlineStr">
        <is>
          <t>Ausgabe</t>
        </is>
      </c>
      <c r="G85" s="25" t="n">
        <v>115.4</v>
      </c>
      <c r="H85" s="21" t="inlineStr">
        <is>
          <t>Girocard / Debit</t>
        </is>
      </c>
      <c r="I85" s="45" t="inlineStr">
        <is>
          <t>Wocheneinkauf REWE / Edeka</t>
        </is>
      </c>
    </row>
    <row r="86" ht="20" customHeight="1">
      <c r="A86" s="21" t="n">
        <v>82</v>
      </c>
      <c r="B86" s="21" t="inlineStr">
        <is>
          <t>2026-08-12</t>
        </is>
      </c>
      <c r="C86" s="21" t="n">
        <v>8</v>
      </c>
      <c r="D86" s="45" t="inlineStr">
        <is>
          <t>Lebensmittel &amp; Haushalt</t>
        </is>
      </c>
      <c r="E86" s="45" t="inlineStr">
        <is>
          <t>Grundbedarf (50%)</t>
        </is>
      </c>
      <c r="F86" s="76" t="inlineStr">
        <is>
          <t>Ausgabe</t>
        </is>
      </c>
      <c r="G86" s="25" t="n">
        <v>98.59999999999999</v>
      </c>
      <c r="H86" s="21" t="inlineStr">
        <is>
          <t>Girocard / Debit</t>
        </is>
      </c>
      <c r="I86" s="45" t="inlineStr">
        <is>
          <t>Wocheneinkauf ALDI / Lidl</t>
        </is>
      </c>
    </row>
    <row r="87" ht="20" customHeight="1">
      <c r="A87" s="21" t="n">
        <v>83</v>
      </c>
      <c r="B87" s="21" t="inlineStr">
        <is>
          <t>2026-08-15</t>
        </is>
      </c>
      <c r="C87" s="21" t="n">
        <v>8</v>
      </c>
      <c r="D87" s="45" t="inlineStr">
        <is>
          <t>Drogerie &amp; Körperpflege</t>
        </is>
      </c>
      <c r="E87" s="45" t="inlineStr">
        <is>
          <t>Grundbedarf (50%)</t>
        </is>
      </c>
      <c r="F87" s="76" t="inlineStr">
        <is>
          <t>Ausgabe</t>
        </is>
      </c>
      <c r="G87" s="25" t="n">
        <v>42.5</v>
      </c>
      <c r="H87" s="21" t="inlineStr">
        <is>
          <t>Girocard / Debit</t>
        </is>
      </c>
      <c r="I87" s="45" t="inlineStr">
        <is>
          <t>Drogeriemarkt dm / Rossmann</t>
        </is>
      </c>
    </row>
    <row r="88" ht="20" customHeight="1">
      <c r="A88" s="21" t="n">
        <v>84</v>
      </c>
      <c r="B88" s="21" t="inlineStr">
        <is>
          <t>2026-08-19</t>
        </is>
      </c>
      <c r="C88" s="21" t="n">
        <v>8</v>
      </c>
      <c r="D88" s="45" t="inlineStr">
        <is>
          <t>Lebensmittel &amp; Haushalt</t>
        </is>
      </c>
      <c r="E88" s="45" t="inlineStr">
        <is>
          <t>Grundbedarf (50%)</t>
        </is>
      </c>
      <c r="F88" s="76" t="inlineStr">
        <is>
          <t>Ausgabe</t>
        </is>
      </c>
      <c r="G88" s="25" t="n">
        <v>124.3</v>
      </c>
      <c r="H88" s="21" t="inlineStr">
        <is>
          <t>Girocard / Debit</t>
        </is>
      </c>
      <c r="I88" s="45" t="inlineStr">
        <is>
          <t>Großeinkauf Supermarkt &amp; Bäckerei</t>
        </is>
      </c>
    </row>
    <row r="89" ht="20" customHeight="1">
      <c r="A89" s="21" t="n">
        <v>85</v>
      </c>
      <c r="B89" s="21" t="inlineStr">
        <is>
          <t>2026-08-26</t>
        </is>
      </c>
      <c r="C89" s="21" t="n">
        <v>8</v>
      </c>
      <c r="D89" s="45" t="inlineStr">
        <is>
          <t>Lebensmittel &amp; Haushalt</t>
        </is>
      </c>
      <c r="E89" s="45" t="inlineStr">
        <is>
          <t>Grundbedarf (50%)</t>
        </is>
      </c>
      <c r="F89" s="76" t="inlineStr">
        <is>
          <t>Ausgabe</t>
        </is>
      </c>
      <c r="G89" s="25" t="n">
        <v>85.2</v>
      </c>
      <c r="H89" s="21" t="inlineStr">
        <is>
          <t>Girocard / Debit</t>
        </is>
      </c>
      <c r="I89" s="45" t="inlineStr">
        <is>
          <t>Wochenendeinkauf Frischemarkt</t>
        </is>
      </c>
    </row>
    <row r="90" ht="20" customHeight="1">
      <c r="A90" s="21" t="n">
        <v>86</v>
      </c>
      <c r="B90" s="21" t="inlineStr">
        <is>
          <t>2026-08-10</t>
        </is>
      </c>
      <c r="C90" s="21" t="n">
        <v>8</v>
      </c>
      <c r="D90" s="45" t="inlineStr">
        <is>
          <t>Mobilität variabel</t>
        </is>
      </c>
      <c r="E90" s="45" t="inlineStr">
        <is>
          <t>Grundbedarf (50%)</t>
        </is>
      </c>
      <c r="F90" s="76" t="inlineStr">
        <is>
          <t>Ausgabe</t>
        </is>
      </c>
      <c r="G90" s="25" t="n">
        <v>75</v>
      </c>
      <c r="H90" s="21" t="inlineStr">
        <is>
          <t>Kreditkarte</t>
        </is>
      </c>
      <c r="I90" s="45" t="inlineStr">
        <is>
          <t>Aral Tankstelle Kraftstoff</t>
        </is>
      </c>
    </row>
    <row r="91" ht="20" customHeight="1">
      <c r="A91" s="21" t="n">
        <v>87</v>
      </c>
      <c r="B91" s="21" t="inlineStr">
        <is>
          <t>2026-08-08</t>
        </is>
      </c>
      <c r="C91" s="21" t="n">
        <v>8</v>
      </c>
      <c r="D91" s="45" t="inlineStr">
        <is>
          <t>Restaurant &amp; Ausgehen</t>
        </is>
      </c>
      <c r="E91" s="45" t="inlineStr">
        <is>
          <t>Wünsche (30%)</t>
        </is>
      </c>
      <c r="F91" s="76" t="inlineStr">
        <is>
          <t>Ausgabe</t>
        </is>
      </c>
      <c r="G91" s="25" t="n">
        <v>68.5</v>
      </c>
      <c r="H91" s="21" t="inlineStr">
        <is>
          <t>Kreditkarte</t>
        </is>
      </c>
      <c r="I91" s="45" t="inlineStr">
        <is>
          <t>Abendessen Restaurant / Pizzeria</t>
        </is>
      </c>
    </row>
    <row r="92" ht="20" customHeight="1">
      <c r="A92" s="21" t="n">
        <v>88</v>
      </c>
      <c r="B92" s="21" t="inlineStr">
        <is>
          <t>2026-08-16</t>
        </is>
      </c>
      <c r="C92" s="21" t="n">
        <v>8</v>
      </c>
      <c r="D92" s="45" t="inlineStr">
        <is>
          <t>Freizeit &amp; Hobbys</t>
        </is>
      </c>
      <c r="E92" s="45" t="inlineStr">
        <is>
          <t>Wünsche (30%)</t>
        </is>
      </c>
      <c r="F92" s="76" t="inlineStr">
        <is>
          <t>Ausgabe</t>
        </is>
      </c>
      <c r="G92" s="25" t="n">
        <v>35</v>
      </c>
      <c r="H92" s="21" t="inlineStr">
        <is>
          <t>Barzahlung</t>
        </is>
      </c>
      <c r="I92" s="45" t="inlineStr">
        <is>
          <t>Kino &amp; Popcorn am Wochenende</t>
        </is>
      </c>
    </row>
    <row r="93" ht="20" customHeight="1">
      <c r="A93" s="21" t="n">
        <v>89</v>
      </c>
      <c r="B93" s="21" t="inlineStr">
        <is>
          <t>2026-08-22</t>
        </is>
      </c>
      <c r="C93" s="21" t="n">
        <v>8</v>
      </c>
      <c r="D93" s="45" t="inlineStr">
        <is>
          <t>Kleidung &amp; Shopping</t>
        </is>
      </c>
      <c r="E93" s="45" t="inlineStr">
        <is>
          <t>Wünsche (30%)</t>
        </is>
      </c>
      <c r="F93" s="76" t="inlineStr">
        <is>
          <t>Ausgabe</t>
        </is>
      </c>
      <c r="G93" s="25" t="n">
        <v>89.90000000000001</v>
      </c>
      <c r="H93" s="21" t="inlineStr">
        <is>
          <t>PayPal</t>
        </is>
      </c>
      <c r="I93" s="45" t="inlineStr">
        <is>
          <t>Bekleidungseinkauf / Schuhe</t>
        </is>
      </c>
    </row>
    <row r="94" ht="20" customHeight="1">
      <c r="A94" s="21" t="n">
        <v>90</v>
      </c>
      <c r="B94" s="21" t="inlineStr">
        <is>
          <t>2026-08-27</t>
        </is>
      </c>
      <c r="C94" s="21" t="n">
        <v>8</v>
      </c>
      <c r="D94" s="45" t="inlineStr">
        <is>
          <t>Restaurant &amp; Ausgehen</t>
        </is>
      </c>
      <c r="E94" s="45" t="inlineStr">
        <is>
          <t>Wünsche (30%)</t>
        </is>
      </c>
      <c r="F94" s="76" t="inlineStr">
        <is>
          <t>Ausgabe</t>
        </is>
      </c>
      <c r="G94" s="25" t="n">
        <v>45</v>
      </c>
      <c r="H94" s="21" t="inlineStr">
        <is>
          <t>Girocard / Debit</t>
        </is>
      </c>
      <c r="I94" s="45" t="inlineStr">
        <is>
          <t>Lieferdienst Pizza / Sushi am Sonntag</t>
        </is>
      </c>
    </row>
    <row r="95" ht="20" customHeight="1">
      <c r="A95" s="21" t="n">
        <v>91</v>
      </c>
      <c r="B95" s="21" t="inlineStr">
        <is>
          <t>2026-09-01</t>
        </is>
      </c>
      <c r="C95" s="21" t="n">
        <v>9</v>
      </c>
      <c r="D95" s="45" t="inlineStr">
        <is>
          <t>Gehalt / Lohn (Hauptjob Netto)</t>
        </is>
      </c>
      <c r="E95" s="45" t="inlineStr">
        <is>
          <t>Grundbedarf (50%)</t>
        </is>
      </c>
      <c r="F95" s="75" t="inlineStr">
        <is>
          <t>Einnahme</t>
        </is>
      </c>
      <c r="G95" s="25" t="n">
        <v>2800</v>
      </c>
      <c r="H95" s="21" t="inlineStr">
        <is>
          <t>Banküberweisung</t>
        </is>
      </c>
      <c r="I95" s="45" t="inlineStr">
        <is>
          <t>Arbeitgeber Überweisung Monatsgehalt Netto</t>
        </is>
      </c>
    </row>
    <row r="96" ht="20" customHeight="1">
      <c r="A96" s="21" t="n">
        <v>92</v>
      </c>
      <c r="B96" s="21" t="inlineStr">
        <is>
          <t>2026-09-05</t>
        </is>
      </c>
      <c r="C96" s="21" t="n">
        <v>9</v>
      </c>
      <c r="D96" s="45" t="inlineStr">
        <is>
          <t>Lebensmittel &amp; Haushalt</t>
        </is>
      </c>
      <c r="E96" s="45" t="inlineStr">
        <is>
          <t>Grundbedarf (50%)</t>
        </is>
      </c>
      <c r="F96" s="76" t="inlineStr">
        <is>
          <t>Ausgabe</t>
        </is>
      </c>
      <c r="G96" s="25" t="n">
        <v>115.4</v>
      </c>
      <c r="H96" s="21" t="inlineStr">
        <is>
          <t>Girocard / Debit</t>
        </is>
      </c>
      <c r="I96" s="45" t="inlineStr">
        <is>
          <t>Wocheneinkauf REWE / Edeka</t>
        </is>
      </c>
    </row>
    <row r="97" ht="20" customHeight="1">
      <c r="A97" s="21" t="n">
        <v>93</v>
      </c>
      <c r="B97" s="21" t="inlineStr">
        <is>
          <t>2026-09-12</t>
        </is>
      </c>
      <c r="C97" s="21" t="n">
        <v>9</v>
      </c>
      <c r="D97" s="45" t="inlineStr">
        <is>
          <t>Lebensmittel &amp; Haushalt</t>
        </is>
      </c>
      <c r="E97" s="45" t="inlineStr">
        <is>
          <t>Grundbedarf (50%)</t>
        </is>
      </c>
      <c r="F97" s="76" t="inlineStr">
        <is>
          <t>Ausgabe</t>
        </is>
      </c>
      <c r="G97" s="25" t="n">
        <v>98.59999999999999</v>
      </c>
      <c r="H97" s="21" t="inlineStr">
        <is>
          <t>Girocard / Debit</t>
        </is>
      </c>
      <c r="I97" s="45" t="inlineStr">
        <is>
          <t>Wocheneinkauf ALDI / Lidl</t>
        </is>
      </c>
    </row>
    <row r="98" ht="20" customHeight="1">
      <c r="A98" s="21" t="n">
        <v>94</v>
      </c>
      <c r="B98" s="21" t="inlineStr">
        <is>
          <t>2026-09-15</t>
        </is>
      </c>
      <c r="C98" s="21" t="n">
        <v>9</v>
      </c>
      <c r="D98" s="45" t="inlineStr">
        <is>
          <t>Drogerie &amp; Körperpflege</t>
        </is>
      </c>
      <c r="E98" s="45" t="inlineStr">
        <is>
          <t>Grundbedarf (50%)</t>
        </is>
      </c>
      <c r="F98" s="76" t="inlineStr">
        <is>
          <t>Ausgabe</t>
        </is>
      </c>
      <c r="G98" s="25" t="n">
        <v>42.5</v>
      </c>
      <c r="H98" s="21" t="inlineStr">
        <is>
          <t>Girocard / Debit</t>
        </is>
      </c>
      <c r="I98" s="45" t="inlineStr">
        <is>
          <t>Drogeriemarkt dm / Rossmann</t>
        </is>
      </c>
    </row>
    <row r="99" ht="20" customHeight="1">
      <c r="A99" s="21" t="n">
        <v>95</v>
      </c>
      <c r="B99" s="21" t="inlineStr">
        <is>
          <t>2026-09-19</t>
        </is>
      </c>
      <c r="C99" s="21" t="n">
        <v>9</v>
      </c>
      <c r="D99" s="45" t="inlineStr">
        <is>
          <t>Lebensmittel &amp; Haushalt</t>
        </is>
      </c>
      <c r="E99" s="45" t="inlineStr">
        <is>
          <t>Grundbedarf (50%)</t>
        </is>
      </c>
      <c r="F99" s="76" t="inlineStr">
        <is>
          <t>Ausgabe</t>
        </is>
      </c>
      <c r="G99" s="25" t="n">
        <v>124.3</v>
      </c>
      <c r="H99" s="21" t="inlineStr">
        <is>
          <t>Girocard / Debit</t>
        </is>
      </c>
      <c r="I99" s="45" t="inlineStr">
        <is>
          <t>Großeinkauf Supermarkt &amp; Bäckerei</t>
        </is>
      </c>
    </row>
    <row r="100" ht="20" customHeight="1">
      <c r="A100" s="21" t="n">
        <v>96</v>
      </c>
      <c r="B100" s="21" t="inlineStr">
        <is>
          <t>2026-09-26</t>
        </is>
      </c>
      <c r="C100" s="21" t="n">
        <v>9</v>
      </c>
      <c r="D100" s="45" t="inlineStr">
        <is>
          <t>Lebensmittel &amp; Haushalt</t>
        </is>
      </c>
      <c r="E100" s="45" t="inlineStr">
        <is>
          <t>Grundbedarf (50%)</t>
        </is>
      </c>
      <c r="F100" s="76" t="inlineStr">
        <is>
          <t>Ausgabe</t>
        </is>
      </c>
      <c r="G100" s="25" t="n">
        <v>85.2</v>
      </c>
      <c r="H100" s="21" t="inlineStr">
        <is>
          <t>Girocard / Debit</t>
        </is>
      </c>
      <c r="I100" s="45" t="inlineStr">
        <is>
          <t>Wochenendeinkauf Frischemarkt</t>
        </is>
      </c>
    </row>
    <row r="101" ht="20" customHeight="1">
      <c r="A101" s="21" t="n">
        <v>97</v>
      </c>
      <c r="B101" s="21" t="inlineStr">
        <is>
          <t>2026-09-10</t>
        </is>
      </c>
      <c r="C101" s="21" t="n">
        <v>9</v>
      </c>
      <c r="D101" s="45" t="inlineStr">
        <is>
          <t>Mobilität variabel</t>
        </is>
      </c>
      <c r="E101" s="45" t="inlineStr">
        <is>
          <t>Grundbedarf (50%)</t>
        </is>
      </c>
      <c r="F101" s="76" t="inlineStr">
        <is>
          <t>Ausgabe</t>
        </is>
      </c>
      <c r="G101" s="25" t="n">
        <v>75</v>
      </c>
      <c r="H101" s="21" t="inlineStr">
        <is>
          <t>Kreditkarte</t>
        </is>
      </c>
      <c r="I101" s="45" t="inlineStr">
        <is>
          <t>Aral Tankstelle Kraftstoff</t>
        </is>
      </c>
    </row>
    <row r="102" ht="20" customHeight="1">
      <c r="A102" s="21" t="n">
        <v>98</v>
      </c>
      <c r="B102" s="21" t="inlineStr">
        <is>
          <t>2026-09-08</t>
        </is>
      </c>
      <c r="C102" s="21" t="n">
        <v>9</v>
      </c>
      <c r="D102" s="45" t="inlineStr">
        <is>
          <t>Restaurant &amp; Ausgehen</t>
        </is>
      </c>
      <c r="E102" s="45" t="inlineStr">
        <is>
          <t>Wünsche (30%)</t>
        </is>
      </c>
      <c r="F102" s="76" t="inlineStr">
        <is>
          <t>Ausgabe</t>
        </is>
      </c>
      <c r="G102" s="25" t="n">
        <v>68.5</v>
      </c>
      <c r="H102" s="21" t="inlineStr">
        <is>
          <t>Kreditkarte</t>
        </is>
      </c>
      <c r="I102" s="45" t="inlineStr">
        <is>
          <t>Abendessen Restaurant / Pizzeria</t>
        </is>
      </c>
    </row>
    <row r="103" ht="20" customHeight="1">
      <c r="A103" s="21" t="n">
        <v>99</v>
      </c>
      <c r="B103" s="21" t="inlineStr">
        <is>
          <t>2026-09-16</t>
        </is>
      </c>
      <c r="C103" s="21" t="n">
        <v>9</v>
      </c>
      <c r="D103" s="45" t="inlineStr">
        <is>
          <t>Freizeit &amp; Hobbys</t>
        </is>
      </c>
      <c r="E103" s="45" t="inlineStr">
        <is>
          <t>Wünsche (30%)</t>
        </is>
      </c>
      <c r="F103" s="76" t="inlineStr">
        <is>
          <t>Ausgabe</t>
        </is>
      </c>
      <c r="G103" s="25" t="n">
        <v>35</v>
      </c>
      <c r="H103" s="21" t="inlineStr">
        <is>
          <t>Barzahlung</t>
        </is>
      </c>
      <c r="I103" s="45" t="inlineStr">
        <is>
          <t>Kino &amp; Popcorn am Wochenende</t>
        </is>
      </c>
    </row>
    <row r="104" ht="20" customHeight="1">
      <c r="A104" s="21" t="n">
        <v>100</v>
      </c>
      <c r="B104" s="21" t="inlineStr">
        <is>
          <t>2026-09-22</t>
        </is>
      </c>
      <c r="C104" s="21" t="n">
        <v>9</v>
      </c>
      <c r="D104" s="45" t="inlineStr">
        <is>
          <t>Kleidung &amp; Shopping</t>
        </is>
      </c>
      <c r="E104" s="45" t="inlineStr">
        <is>
          <t>Wünsche (30%)</t>
        </is>
      </c>
      <c r="F104" s="76" t="inlineStr">
        <is>
          <t>Ausgabe</t>
        </is>
      </c>
      <c r="G104" s="25" t="n">
        <v>89.90000000000001</v>
      </c>
      <c r="H104" s="21" t="inlineStr">
        <is>
          <t>PayPal</t>
        </is>
      </c>
      <c r="I104" s="45" t="inlineStr">
        <is>
          <t>Bekleidungseinkauf / Schuhe</t>
        </is>
      </c>
    </row>
    <row r="105" ht="20" customHeight="1">
      <c r="A105" s="21" t="n">
        <v>101</v>
      </c>
      <c r="B105" s="21" t="inlineStr">
        <is>
          <t>2026-09-27</t>
        </is>
      </c>
      <c r="C105" s="21" t="n">
        <v>9</v>
      </c>
      <c r="D105" s="45" t="inlineStr">
        <is>
          <t>Restaurant &amp; Ausgehen</t>
        </is>
      </c>
      <c r="E105" s="45" t="inlineStr">
        <is>
          <t>Wünsche (30%)</t>
        </is>
      </c>
      <c r="F105" s="76" t="inlineStr">
        <is>
          <t>Ausgabe</t>
        </is>
      </c>
      <c r="G105" s="25" t="n">
        <v>45</v>
      </c>
      <c r="H105" s="21" t="inlineStr">
        <is>
          <t>Girocard / Debit</t>
        </is>
      </c>
      <c r="I105" s="45" t="inlineStr">
        <is>
          <t>Lieferdienst Pizza / Sushi am Sonntag</t>
        </is>
      </c>
    </row>
    <row r="106" ht="20" customHeight="1">
      <c r="A106" s="21" t="n">
        <v>102</v>
      </c>
      <c r="B106" s="21" t="inlineStr">
        <is>
          <t>2026-09-20</t>
        </is>
      </c>
      <c r="C106" s="21" t="n">
        <v>9</v>
      </c>
      <c r="D106" s="45" t="inlineStr">
        <is>
          <t>Nebenjob / Freiberufliche Tätigkeit</t>
        </is>
      </c>
      <c r="E106" s="45" t="inlineStr">
        <is>
          <t>Grundbedarf (50%)</t>
        </is>
      </c>
      <c r="F106" s="75" t="inlineStr">
        <is>
          <t>Einnahme</t>
        </is>
      </c>
      <c r="G106" s="25" t="n">
        <v>350</v>
      </c>
      <c r="H106" s="21" t="inlineStr">
        <is>
          <t>Banküberweisung</t>
        </is>
      </c>
      <c r="I106" s="45" t="inlineStr">
        <is>
          <t>Honorar freiberufliches Projekt</t>
        </is>
      </c>
    </row>
    <row r="107" ht="20" customHeight="1">
      <c r="A107" s="21" t="n">
        <v>103</v>
      </c>
      <c r="B107" s="21" t="inlineStr">
        <is>
          <t>2026-10-01</t>
        </is>
      </c>
      <c r="C107" s="21" t="n">
        <v>10</v>
      </c>
      <c r="D107" s="45" t="inlineStr">
        <is>
          <t>Gehalt / Lohn (Hauptjob Netto)</t>
        </is>
      </c>
      <c r="E107" s="45" t="inlineStr">
        <is>
          <t>Grundbedarf (50%)</t>
        </is>
      </c>
      <c r="F107" s="75" t="inlineStr">
        <is>
          <t>Einnahme</t>
        </is>
      </c>
      <c r="G107" s="25" t="n">
        <v>2800</v>
      </c>
      <c r="H107" s="21" t="inlineStr">
        <is>
          <t>Banküberweisung</t>
        </is>
      </c>
      <c r="I107" s="45" t="inlineStr">
        <is>
          <t>Arbeitgeber Überweisung Monatsgehalt Netto</t>
        </is>
      </c>
    </row>
    <row r="108" ht="20" customHeight="1">
      <c r="A108" s="21" t="n">
        <v>104</v>
      </c>
      <c r="B108" s="21" t="inlineStr">
        <is>
          <t>2026-10-05</t>
        </is>
      </c>
      <c r="C108" s="21" t="n">
        <v>10</v>
      </c>
      <c r="D108" s="45" t="inlineStr">
        <is>
          <t>Lebensmittel &amp; Haushalt</t>
        </is>
      </c>
      <c r="E108" s="45" t="inlineStr">
        <is>
          <t>Grundbedarf (50%)</t>
        </is>
      </c>
      <c r="F108" s="76" t="inlineStr">
        <is>
          <t>Ausgabe</t>
        </is>
      </c>
      <c r="G108" s="25" t="n">
        <v>115.4</v>
      </c>
      <c r="H108" s="21" t="inlineStr">
        <is>
          <t>Girocard / Debit</t>
        </is>
      </c>
      <c r="I108" s="45" t="inlineStr">
        <is>
          <t>Wocheneinkauf REWE / Edeka</t>
        </is>
      </c>
    </row>
    <row r="109" ht="20" customHeight="1">
      <c r="A109" s="21" t="n">
        <v>105</v>
      </c>
      <c r="B109" s="21" t="inlineStr">
        <is>
          <t>2026-10-12</t>
        </is>
      </c>
      <c r="C109" s="21" t="n">
        <v>10</v>
      </c>
      <c r="D109" s="45" t="inlineStr">
        <is>
          <t>Lebensmittel &amp; Haushalt</t>
        </is>
      </c>
      <c r="E109" s="45" t="inlineStr">
        <is>
          <t>Grundbedarf (50%)</t>
        </is>
      </c>
      <c r="F109" s="76" t="inlineStr">
        <is>
          <t>Ausgabe</t>
        </is>
      </c>
      <c r="G109" s="25" t="n">
        <v>98.59999999999999</v>
      </c>
      <c r="H109" s="21" t="inlineStr">
        <is>
          <t>Girocard / Debit</t>
        </is>
      </c>
      <c r="I109" s="45" t="inlineStr">
        <is>
          <t>Wocheneinkauf ALDI / Lidl</t>
        </is>
      </c>
    </row>
    <row r="110" ht="20" customHeight="1">
      <c r="A110" s="21" t="n">
        <v>106</v>
      </c>
      <c r="B110" s="21" t="inlineStr">
        <is>
          <t>2026-10-15</t>
        </is>
      </c>
      <c r="C110" s="21" t="n">
        <v>10</v>
      </c>
      <c r="D110" s="45" t="inlineStr">
        <is>
          <t>Drogerie &amp; Körperpflege</t>
        </is>
      </c>
      <c r="E110" s="45" t="inlineStr">
        <is>
          <t>Grundbedarf (50%)</t>
        </is>
      </c>
      <c r="F110" s="76" t="inlineStr">
        <is>
          <t>Ausgabe</t>
        </is>
      </c>
      <c r="G110" s="25" t="n">
        <v>42.5</v>
      </c>
      <c r="H110" s="21" t="inlineStr">
        <is>
          <t>Girocard / Debit</t>
        </is>
      </c>
      <c r="I110" s="45" t="inlineStr">
        <is>
          <t>Drogeriemarkt dm / Rossmann</t>
        </is>
      </c>
    </row>
    <row r="111" ht="20" customHeight="1">
      <c r="A111" s="21" t="n">
        <v>107</v>
      </c>
      <c r="B111" s="21" t="inlineStr">
        <is>
          <t>2026-10-19</t>
        </is>
      </c>
      <c r="C111" s="21" t="n">
        <v>10</v>
      </c>
      <c r="D111" s="45" t="inlineStr">
        <is>
          <t>Lebensmittel &amp; Haushalt</t>
        </is>
      </c>
      <c r="E111" s="45" t="inlineStr">
        <is>
          <t>Grundbedarf (50%)</t>
        </is>
      </c>
      <c r="F111" s="76" t="inlineStr">
        <is>
          <t>Ausgabe</t>
        </is>
      </c>
      <c r="G111" s="25" t="n">
        <v>124.3</v>
      </c>
      <c r="H111" s="21" t="inlineStr">
        <is>
          <t>Girocard / Debit</t>
        </is>
      </c>
      <c r="I111" s="45" t="inlineStr">
        <is>
          <t>Großeinkauf Supermarkt &amp; Bäckerei</t>
        </is>
      </c>
    </row>
    <row r="112" ht="20" customHeight="1">
      <c r="A112" s="21" t="n">
        <v>108</v>
      </c>
      <c r="B112" s="21" t="inlineStr">
        <is>
          <t>2026-10-26</t>
        </is>
      </c>
      <c r="C112" s="21" t="n">
        <v>10</v>
      </c>
      <c r="D112" s="45" t="inlineStr">
        <is>
          <t>Lebensmittel &amp; Haushalt</t>
        </is>
      </c>
      <c r="E112" s="45" t="inlineStr">
        <is>
          <t>Grundbedarf (50%)</t>
        </is>
      </c>
      <c r="F112" s="76" t="inlineStr">
        <is>
          <t>Ausgabe</t>
        </is>
      </c>
      <c r="G112" s="25" t="n">
        <v>85.2</v>
      </c>
      <c r="H112" s="21" t="inlineStr">
        <is>
          <t>Girocard / Debit</t>
        </is>
      </c>
      <c r="I112" s="45" t="inlineStr">
        <is>
          <t>Wochenendeinkauf Frischemarkt</t>
        </is>
      </c>
    </row>
    <row r="113" ht="20" customHeight="1">
      <c r="A113" s="21" t="n">
        <v>109</v>
      </c>
      <c r="B113" s="21" t="inlineStr">
        <is>
          <t>2026-10-10</t>
        </is>
      </c>
      <c r="C113" s="21" t="n">
        <v>10</v>
      </c>
      <c r="D113" s="45" t="inlineStr">
        <is>
          <t>Mobilität variabel</t>
        </is>
      </c>
      <c r="E113" s="45" t="inlineStr">
        <is>
          <t>Grundbedarf (50%)</t>
        </is>
      </c>
      <c r="F113" s="76" t="inlineStr">
        <is>
          <t>Ausgabe</t>
        </is>
      </c>
      <c r="G113" s="25" t="n">
        <v>75</v>
      </c>
      <c r="H113" s="21" t="inlineStr">
        <is>
          <t>Kreditkarte</t>
        </is>
      </c>
      <c r="I113" s="45" t="inlineStr">
        <is>
          <t>Aral Tankstelle Kraftstoff</t>
        </is>
      </c>
    </row>
    <row r="114" ht="20" customHeight="1">
      <c r="A114" s="21" t="n">
        <v>110</v>
      </c>
      <c r="B114" s="21" t="inlineStr">
        <is>
          <t>2026-10-08</t>
        </is>
      </c>
      <c r="C114" s="21" t="n">
        <v>10</v>
      </c>
      <c r="D114" s="45" t="inlineStr">
        <is>
          <t>Restaurant &amp; Ausgehen</t>
        </is>
      </c>
      <c r="E114" s="45" t="inlineStr">
        <is>
          <t>Wünsche (30%)</t>
        </is>
      </c>
      <c r="F114" s="76" t="inlineStr">
        <is>
          <t>Ausgabe</t>
        </is>
      </c>
      <c r="G114" s="25" t="n">
        <v>68.5</v>
      </c>
      <c r="H114" s="21" t="inlineStr">
        <is>
          <t>Kreditkarte</t>
        </is>
      </c>
      <c r="I114" s="45" t="inlineStr">
        <is>
          <t>Abendessen Restaurant / Pizzeria</t>
        </is>
      </c>
    </row>
    <row r="115" ht="20" customHeight="1">
      <c r="A115" s="21" t="n">
        <v>111</v>
      </c>
      <c r="B115" s="21" t="inlineStr">
        <is>
          <t>2026-10-16</t>
        </is>
      </c>
      <c r="C115" s="21" t="n">
        <v>10</v>
      </c>
      <c r="D115" s="45" t="inlineStr">
        <is>
          <t>Freizeit &amp; Hobbys</t>
        </is>
      </c>
      <c r="E115" s="45" t="inlineStr">
        <is>
          <t>Wünsche (30%)</t>
        </is>
      </c>
      <c r="F115" s="76" t="inlineStr">
        <is>
          <t>Ausgabe</t>
        </is>
      </c>
      <c r="G115" s="25" t="n">
        <v>35</v>
      </c>
      <c r="H115" s="21" t="inlineStr">
        <is>
          <t>Barzahlung</t>
        </is>
      </c>
      <c r="I115" s="45" t="inlineStr">
        <is>
          <t>Kino &amp; Popcorn am Wochenende</t>
        </is>
      </c>
    </row>
    <row r="116" ht="20" customHeight="1">
      <c r="A116" s="21" t="n">
        <v>112</v>
      </c>
      <c r="B116" s="21" t="inlineStr">
        <is>
          <t>2026-10-22</t>
        </is>
      </c>
      <c r="C116" s="21" t="n">
        <v>10</v>
      </c>
      <c r="D116" s="45" t="inlineStr">
        <is>
          <t>Kleidung &amp; Shopping</t>
        </is>
      </c>
      <c r="E116" s="45" t="inlineStr">
        <is>
          <t>Wünsche (30%)</t>
        </is>
      </c>
      <c r="F116" s="76" t="inlineStr">
        <is>
          <t>Ausgabe</t>
        </is>
      </c>
      <c r="G116" s="25" t="n">
        <v>89.90000000000001</v>
      </c>
      <c r="H116" s="21" t="inlineStr">
        <is>
          <t>PayPal</t>
        </is>
      </c>
      <c r="I116" s="45" t="inlineStr">
        <is>
          <t>Bekleidungseinkauf / Schuhe</t>
        </is>
      </c>
    </row>
    <row r="117" ht="20" customHeight="1">
      <c r="A117" s="21" t="n">
        <v>113</v>
      </c>
      <c r="B117" s="21" t="inlineStr">
        <is>
          <t>2026-10-27</t>
        </is>
      </c>
      <c r="C117" s="21" t="n">
        <v>10</v>
      </c>
      <c r="D117" s="45" t="inlineStr">
        <is>
          <t>Restaurant &amp; Ausgehen</t>
        </is>
      </c>
      <c r="E117" s="45" t="inlineStr">
        <is>
          <t>Wünsche (30%)</t>
        </is>
      </c>
      <c r="F117" s="76" t="inlineStr">
        <is>
          <t>Ausgabe</t>
        </is>
      </c>
      <c r="G117" s="25" t="n">
        <v>45</v>
      </c>
      <c r="H117" s="21" t="inlineStr">
        <is>
          <t>Girocard / Debit</t>
        </is>
      </c>
      <c r="I117" s="45" t="inlineStr">
        <is>
          <t>Lieferdienst Pizza / Sushi am Sonntag</t>
        </is>
      </c>
    </row>
    <row r="118" ht="20" customHeight="1">
      <c r="A118" s="21" t="n">
        <v>114</v>
      </c>
      <c r="B118" s="21" t="inlineStr">
        <is>
          <t>2026-11-01</t>
        </is>
      </c>
      <c r="C118" s="21" t="n">
        <v>11</v>
      </c>
      <c r="D118" s="45" t="inlineStr">
        <is>
          <t>Gehalt / Lohn (Hauptjob Netto)</t>
        </is>
      </c>
      <c r="E118" s="45" t="inlineStr">
        <is>
          <t>Grundbedarf (50%)</t>
        </is>
      </c>
      <c r="F118" s="75" t="inlineStr">
        <is>
          <t>Einnahme</t>
        </is>
      </c>
      <c r="G118" s="25" t="n">
        <v>2800</v>
      </c>
      <c r="H118" s="21" t="inlineStr">
        <is>
          <t>Banküberweisung</t>
        </is>
      </c>
      <c r="I118" s="45" t="inlineStr">
        <is>
          <t>Arbeitgeber Überweisung Monatsgehalt Netto</t>
        </is>
      </c>
    </row>
    <row r="119" ht="20" customHeight="1">
      <c r="A119" s="21" t="n">
        <v>115</v>
      </c>
      <c r="B119" s="21" t="inlineStr">
        <is>
          <t>2026-11-05</t>
        </is>
      </c>
      <c r="C119" s="21" t="n">
        <v>11</v>
      </c>
      <c r="D119" s="45" t="inlineStr">
        <is>
          <t>Lebensmittel &amp; Haushalt</t>
        </is>
      </c>
      <c r="E119" s="45" t="inlineStr">
        <is>
          <t>Grundbedarf (50%)</t>
        </is>
      </c>
      <c r="F119" s="76" t="inlineStr">
        <is>
          <t>Ausgabe</t>
        </is>
      </c>
      <c r="G119" s="25" t="n">
        <v>115.4</v>
      </c>
      <c r="H119" s="21" t="inlineStr">
        <is>
          <t>Girocard / Debit</t>
        </is>
      </c>
      <c r="I119" s="45" t="inlineStr">
        <is>
          <t>Wocheneinkauf REWE / Edeka</t>
        </is>
      </c>
    </row>
    <row r="120" ht="20" customHeight="1">
      <c r="A120" s="21" t="n">
        <v>116</v>
      </c>
      <c r="B120" s="21" t="inlineStr">
        <is>
          <t>2026-11-12</t>
        </is>
      </c>
      <c r="C120" s="21" t="n">
        <v>11</v>
      </c>
      <c r="D120" s="45" t="inlineStr">
        <is>
          <t>Lebensmittel &amp; Haushalt</t>
        </is>
      </c>
      <c r="E120" s="45" t="inlineStr">
        <is>
          <t>Grundbedarf (50%)</t>
        </is>
      </c>
      <c r="F120" s="76" t="inlineStr">
        <is>
          <t>Ausgabe</t>
        </is>
      </c>
      <c r="G120" s="25" t="n">
        <v>98.59999999999999</v>
      </c>
      <c r="H120" s="21" t="inlineStr">
        <is>
          <t>Girocard / Debit</t>
        </is>
      </c>
      <c r="I120" s="45" t="inlineStr">
        <is>
          <t>Wocheneinkauf ALDI / Lidl</t>
        </is>
      </c>
    </row>
    <row r="121" ht="20" customHeight="1">
      <c r="A121" s="21" t="n">
        <v>117</v>
      </c>
      <c r="B121" s="21" t="inlineStr">
        <is>
          <t>2026-11-15</t>
        </is>
      </c>
      <c r="C121" s="21" t="n">
        <v>11</v>
      </c>
      <c r="D121" s="45" t="inlineStr">
        <is>
          <t>Drogerie &amp; Körperpflege</t>
        </is>
      </c>
      <c r="E121" s="45" t="inlineStr">
        <is>
          <t>Grundbedarf (50%)</t>
        </is>
      </c>
      <c r="F121" s="76" t="inlineStr">
        <is>
          <t>Ausgabe</t>
        </is>
      </c>
      <c r="G121" s="25" t="n">
        <v>42.5</v>
      </c>
      <c r="H121" s="21" t="inlineStr">
        <is>
          <t>Girocard / Debit</t>
        </is>
      </c>
      <c r="I121" s="45" t="inlineStr">
        <is>
          <t>Drogeriemarkt dm / Rossmann</t>
        </is>
      </c>
    </row>
    <row r="122" ht="20" customHeight="1">
      <c r="A122" s="21" t="n">
        <v>118</v>
      </c>
      <c r="B122" s="21" t="inlineStr">
        <is>
          <t>2026-11-19</t>
        </is>
      </c>
      <c r="C122" s="21" t="n">
        <v>11</v>
      </c>
      <c r="D122" s="45" t="inlineStr">
        <is>
          <t>Lebensmittel &amp; Haushalt</t>
        </is>
      </c>
      <c r="E122" s="45" t="inlineStr">
        <is>
          <t>Grundbedarf (50%)</t>
        </is>
      </c>
      <c r="F122" s="76" t="inlineStr">
        <is>
          <t>Ausgabe</t>
        </is>
      </c>
      <c r="G122" s="25" t="n">
        <v>124.3</v>
      </c>
      <c r="H122" s="21" t="inlineStr">
        <is>
          <t>Girocard / Debit</t>
        </is>
      </c>
      <c r="I122" s="45" t="inlineStr">
        <is>
          <t>Großeinkauf Supermarkt &amp; Bäckerei</t>
        </is>
      </c>
    </row>
    <row r="123" ht="20" customHeight="1">
      <c r="A123" s="21" t="n">
        <v>119</v>
      </c>
      <c r="B123" s="21" t="inlineStr">
        <is>
          <t>2026-11-26</t>
        </is>
      </c>
      <c r="C123" s="21" t="n">
        <v>11</v>
      </c>
      <c r="D123" s="45" t="inlineStr">
        <is>
          <t>Lebensmittel &amp; Haushalt</t>
        </is>
      </c>
      <c r="E123" s="45" t="inlineStr">
        <is>
          <t>Grundbedarf (50%)</t>
        </is>
      </c>
      <c r="F123" s="76" t="inlineStr">
        <is>
          <t>Ausgabe</t>
        </is>
      </c>
      <c r="G123" s="25" t="n">
        <v>85.2</v>
      </c>
      <c r="H123" s="21" t="inlineStr">
        <is>
          <t>Girocard / Debit</t>
        </is>
      </c>
      <c r="I123" s="45" t="inlineStr">
        <is>
          <t>Wochenendeinkauf Frischemarkt</t>
        </is>
      </c>
    </row>
    <row r="124" ht="20" customHeight="1">
      <c r="A124" s="21" t="n">
        <v>120</v>
      </c>
      <c r="B124" s="21" t="inlineStr">
        <is>
          <t>2026-11-10</t>
        </is>
      </c>
      <c r="C124" s="21" t="n">
        <v>11</v>
      </c>
      <c r="D124" s="45" t="inlineStr">
        <is>
          <t>Mobilität variabel</t>
        </is>
      </c>
      <c r="E124" s="45" t="inlineStr">
        <is>
          <t>Grundbedarf (50%)</t>
        </is>
      </c>
      <c r="F124" s="76" t="inlineStr">
        <is>
          <t>Ausgabe</t>
        </is>
      </c>
      <c r="G124" s="25" t="n">
        <v>75</v>
      </c>
      <c r="H124" s="21" t="inlineStr">
        <is>
          <t>Kreditkarte</t>
        </is>
      </c>
      <c r="I124" s="45" t="inlineStr">
        <is>
          <t>Aral Tankstelle Kraftstoff</t>
        </is>
      </c>
    </row>
    <row r="125" ht="20" customHeight="1">
      <c r="A125" s="21" t="n">
        <v>121</v>
      </c>
      <c r="B125" s="21" t="inlineStr">
        <is>
          <t>2026-11-08</t>
        </is>
      </c>
      <c r="C125" s="21" t="n">
        <v>11</v>
      </c>
      <c r="D125" s="45" t="inlineStr">
        <is>
          <t>Restaurant &amp; Ausgehen</t>
        </is>
      </c>
      <c r="E125" s="45" t="inlineStr">
        <is>
          <t>Wünsche (30%)</t>
        </is>
      </c>
      <c r="F125" s="76" t="inlineStr">
        <is>
          <t>Ausgabe</t>
        </is>
      </c>
      <c r="G125" s="25" t="n">
        <v>68.5</v>
      </c>
      <c r="H125" s="21" t="inlineStr">
        <is>
          <t>Kreditkarte</t>
        </is>
      </c>
      <c r="I125" s="45" t="inlineStr">
        <is>
          <t>Abendessen Restaurant / Pizzeria</t>
        </is>
      </c>
    </row>
    <row r="126" ht="20" customHeight="1">
      <c r="A126" s="21" t="n">
        <v>122</v>
      </c>
      <c r="B126" s="21" t="inlineStr">
        <is>
          <t>2026-11-16</t>
        </is>
      </c>
      <c r="C126" s="21" t="n">
        <v>11</v>
      </c>
      <c r="D126" s="45" t="inlineStr">
        <is>
          <t>Freizeit &amp; Hobbys</t>
        </is>
      </c>
      <c r="E126" s="45" t="inlineStr">
        <is>
          <t>Wünsche (30%)</t>
        </is>
      </c>
      <c r="F126" s="76" t="inlineStr">
        <is>
          <t>Ausgabe</t>
        </is>
      </c>
      <c r="G126" s="25" t="n">
        <v>35</v>
      </c>
      <c r="H126" s="21" t="inlineStr">
        <is>
          <t>Barzahlung</t>
        </is>
      </c>
      <c r="I126" s="45" t="inlineStr">
        <is>
          <t>Kino &amp; Popcorn am Wochenende</t>
        </is>
      </c>
    </row>
    <row r="127" ht="20" customHeight="1">
      <c r="A127" s="21" t="n">
        <v>123</v>
      </c>
      <c r="B127" s="21" t="inlineStr">
        <is>
          <t>2026-11-22</t>
        </is>
      </c>
      <c r="C127" s="21" t="n">
        <v>11</v>
      </c>
      <c r="D127" s="45" t="inlineStr">
        <is>
          <t>Kleidung &amp; Shopping</t>
        </is>
      </c>
      <c r="E127" s="45" t="inlineStr">
        <is>
          <t>Wünsche (30%)</t>
        </is>
      </c>
      <c r="F127" s="76" t="inlineStr">
        <is>
          <t>Ausgabe</t>
        </is>
      </c>
      <c r="G127" s="25" t="n">
        <v>89.90000000000001</v>
      </c>
      <c r="H127" s="21" t="inlineStr">
        <is>
          <t>PayPal</t>
        </is>
      </c>
      <c r="I127" s="45" t="inlineStr">
        <is>
          <t>Bekleidungseinkauf / Schuhe</t>
        </is>
      </c>
    </row>
    <row r="128" ht="20" customHeight="1">
      <c r="A128" s="21" t="n">
        <v>124</v>
      </c>
      <c r="B128" s="21" t="inlineStr">
        <is>
          <t>2026-11-27</t>
        </is>
      </c>
      <c r="C128" s="21" t="n">
        <v>11</v>
      </c>
      <c r="D128" s="45" t="inlineStr">
        <is>
          <t>Restaurant &amp; Ausgehen</t>
        </is>
      </c>
      <c r="E128" s="45" t="inlineStr">
        <is>
          <t>Wünsche (30%)</t>
        </is>
      </c>
      <c r="F128" s="76" t="inlineStr">
        <is>
          <t>Ausgabe</t>
        </is>
      </c>
      <c r="G128" s="25" t="n">
        <v>45</v>
      </c>
      <c r="H128" s="21" t="inlineStr">
        <is>
          <t>Girocard / Debit</t>
        </is>
      </c>
      <c r="I128" s="45" t="inlineStr">
        <is>
          <t>Lieferdienst Pizza / Sushi am Sonntag</t>
        </is>
      </c>
    </row>
    <row r="129" ht="20" customHeight="1">
      <c r="A129" s="21" t="n">
        <v>125</v>
      </c>
      <c r="B129" s="21" t="inlineStr">
        <is>
          <t>2026-12-01</t>
        </is>
      </c>
      <c r="C129" s="21" t="n">
        <v>12</v>
      </c>
      <c r="D129" s="45" t="inlineStr">
        <is>
          <t>Gehalt / Lohn (Hauptjob Netto)</t>
        </is>
      </c>
      <c r="E129" s="45" t="inlineStr">
        <is>
          <t>Grundbedarf (50%)</t>
        </is>
      </c>
      <c r="F129" s="75" t="inlineStr">
        <is>
          <t>Einnahme</t>
        </is>
      </c>
      <c r="G129" s="25" t="n">
        <v>3200</v>
      </c>
      <c r="H129" s="21" t="inlineStr">
        <is>
          <t>Banküberweisung</t>
        </is>
      </c>
      <c r="I129" s="45" t="inlineStr">
        <is>
          <t>Arbeitgeber Überweisung Monatsgehalt Netto</t>
        </is>
      </c>
    </row>
    <row r="130" ht="20" customHeight="1">
      <c r="A130" s="21" t="n">
        <v>126</v>
      </c>
      <c r="B130" s="21" t="inlineStr">
        <is>
          <t>2026-12-05</t>
        </is>
      </c>
      <c r="C130" s="21" t="n">
        <v>12</v>
      </c>
      <c r="D130" s="45" t="inlineStr">
        <is>
          <t>Lebensmittel &amp; Haushalt</t>
        </is>
      </c>
      <c r="E130" s="45" t="inlineStr">
        <is>
          <t>Grundbedarf (50%)</t>
        </is>
      </c>
      <c r="F130" s="76" t="inlineStr">
        <is>
          <t>Ausgabe</t>
        </is>
      </c>
      <c r="G130" s="25" t="n">
        <v>115.4</v>
      </c>
      <c r="H130" s="21" t="inlineStr">
        <is>
          <t>Girocard / Debit</t>
        </is>
      </c>
      <c r="I130" s="45" t="inlineStr">
        <is>
          <t>Wocheneinkauf REWE / Edeka</t>
        </is>
      </c>
    </row>
    <row r="131" ht="20" customHeight="1">
      <c r="A131" s="21" t="n">
        <v>127</v>
      </c>
      <c r="B131" s="21" t="inlineStr">
        <is>
          <t>2026-12-12</t>
        </is>
      </c>
      <c r="C131" s="21" t="n">
        <v>12</v>
      </c>
      <c r="D131" s="45" t="inlineStr">
        <is>
          <t>Lebensmittel &amp; Haushalt</t>
        </is>
      </c>
      <c r="E131" s="45" t="inlineStr">
        <is>
          <t>Grundbedarf (50%)</t>
        </is>
      </c>
      <c r="F131" s="76" t="inlineStr">
        <is>
          <t>Ausgabe</t>
        </is>
      </c>
      <c r="G131" s="25" t="n">
        <v>98.59999999999999</v>
      </c>
      <c r="H131" s="21" t="inlineStr">
        <is>
          <t>Girocard / Debit</t>
        </is>
      </c>
      <c r="I131" s="45" t="inlineStr">
        <is>
          <t>Wocheneinkauf ALDI / Lidl</t>
        </is>
      </c>
    </row>
    <row r="132" ht="20" customHeight="1">
      <c r="A132" s="21" t="n">
        <v>128</v>
      </c>
      <c r="B132" s="21" t="inlineStr">
        <is>
          <t>2026-12-15</t>
        </is>
      </c>
      <c r="C132" s="21" t="n">
        <v>12</v>
      </c>
      <c r="D132" s="45" t="inlineStr">
        <is>
          <t>Drogerie &amp; Körperpflege</t>
        </is>
      </c>
      <c r="E132" s="45" t="inlineStr">
        <is>
          <t>Grundbedarf (50%)</t>
        </is>
      </c>
      <c r="F132" s="76" t="inlineStr">
        <is>
          <t>Ausgabe</t>
        </is>
      </c>
      <c r="G132" s="25" t="n">
        <v>42.5</v>
      </c>
      <c r="H132" s="21" t="inlineStr">
        <is>
          <t>Girocard / Debit</t>
        </is>
      </c>
      <c r="I132" s="45" t="inlineStr">
        <is>
          <t>Drogeriemarkt dm / Rossmann</t>
        </is>
      </c>
    </row>
    <row r="133" ht="20" customHeight="1">
      <c r="A133" s="21" t="n">
        <v>129</v>
      </c>
      <c r="B133" s="21" t="inlineStr">
        <is>
          <t>2026-12-19</t>
        </is>
      </c>
      <c r="C133" s="21" t="n">
        <v>12</v>
      </c>
      <c r="D133" s="45" t="inlineStr">
        <is>
          <t>Lebensmittel &amp; Haushalt</t>
        </is>
      </c>
      <c r="E133" s="45" t="inlineStr">
        <is>
          <t>Grundbedarf (50%)</t>
        </is>
      </c>
      <c r="F133" s="76" t="inlineStr">
        <is>
          <t>Ausgabe</t>
        </is>
      </c>
      <c r="G133" s="25" t="n">
        <v>124.3</v>
      </c>
      <c r="H133" s="21" t="inlineStr">
        <is>
          <t>Girocard / Debit</t>
        </is>
      </c>
      <c r="I133" s="45" t="inlineStr">
        <is>
          <t>Großeinkauf Supermarkt &amp; Bäckerei</t>
        </is>
      </c>
    </row>
    <row r="134" ht="20" customHeight="1">
      <c r="A134" s="21" t="n">
        <v>130</v>
      </c>
      <c r="B134" s="21" t="inlineStr">
        <is>
          <t>2026-12-26</t>
        </is>
      </c>
      <c r="C134" s="21" t="n">
        <v>12</v>
      </c>
      <c r="D134" s="45" t="inlineStr">
        <is>
          <t>Lebensmittel &amp; Haushalt</t>
        </is>
      </c>
      <c r="E134" s="45" t="inlineStr">
        <is>
          <t>Grundbedarf (50%)</t>
        </is>
      </c>
      <c r="F134" s="76" t="inlineStr">
        <is>
          <t>Ausgabe</t>
        </is>
      </c>
      <c r="G134" s="25" t="n">
        <v>85.2</v>
      </c>
      <c r="H134" s="21" t="inlineStr">
        <is>
          <t>Girocard / Debit</t>
        </is>
      </c>
      <c r="I134" s="45" t="inlineStr">
        <is>
          <t>Wochenendeinkauf Frischemarkt</t>
        </is>
      </c>
    </row>
    <row r="135" ht="20" customHeight="1">
      <c r="A135" s="21" t="n">
        <v>131</v>
      </c>
      <c r="B135" s="21" t="inlineStr">
        <is>
          <t>2026-12-10</t>
        </is>
      </c>
      <c r="C135" s="21" t="n">
        <v>12</v>
      </c>
      <c r="D135" s="45" t="inlineStr">
        <is>
          <t>Mobilität variabel</t>
        </is>
      </c>
      <c r="E135" s="45" t="inlineStr">
        <is>
          <t>Grundbedarf (50%)</t>
        </is>
      </c>
      <c r="F135" s="76" t="inlineStr">
        <is>
          <t>Ausgabe</t>
        </is>
      </c>
      <c r="G135" s="25" t="n">
        <v>75</v>
      </c>
      <c r="H135" s="21" t="inlineStr">
        <is>
          <t>Kreditkarte</t>
        </is>
      </c>
      <c r="I135" s="45" t="inlineStr">
        <is>
          <t>Aral Tankstelle Kraftstoff</t>
        </is>
      </c>
    </row>
    <row r="136" ht="20" customHeight="1">
      <c r="A136" s="21" t="n">
        <v>132</v>
      </c>
      <c r="B136" s="21" t="inlineStr">
        <is>
          <t>2026-12-08</t>
        </is>
      </c>
      <c r="C136" s="21" t="n">
        <v>12</v>
      </c>
      <c r="D136" s="45" t="inlineStr">
        <is>
          <t>Restaurant &amp; Ausgehen</t>
        </is>
      </c>
      <c r="E136" s="45" t="inlineStr">
        <is>
          <t>Wünsche (30%)</t>
        </is>
      </c>
      <c r="F136" s="76" t="inlineStr">
        <is>
          <t>Ausgabe</t>
        </is>
      </c>
      <c r="G136" s="25" t="n">
        <v>68.5</v>
      </c>
      <c r="H136" s="21" t="inlineStr">
        <is>
          <t>Kreditkarte</t>
        </is>
      </c>
      <c r="I136" s="45" t="inlineStr">
        <is>
          <t>Abendessen Restaurant / Pizzeria</t>
        </is>
      </c>
    </row>
    <row r="137" ht="20" customHeight="1">
      <c r="A137" s="21" t="n">
        <v>133</v>
      </c>
      <c r="B137" s="21" t="inlineStr">
        <is>
          <t>2026-12-16</t>
        </is>
      </c>
      <c r="C137" s="21" t="n">
        <v>12</v>
      </c>
      <c r="D137" s="45" t="inlineStr">
        <is>
          <t>Freizeit &amp; Hobbys</t>
        </is>
      </c>
      <c r="E137" s="45" t="inlineStr">
        <is>
          <t>Wünsche (30%)</t>
        </is>
      </c>
      <c r="F137" s="76" t="inlineStr">
        <is>
          <t>Ausgabe</t>
        </is>
      </c>
      <c r="G137" s="25" t="n">
        <v>35</v>
      </c>
      <c r="H137" s="21" t="inlineStr">
        <is>
          <t>Barzahlung</t>
        </is>
      </c>
      <c r="I137" s="45" t="inlineStr">
        <is>
          <t>Kino &amp; Popcorn am Wochenende</t>
        </is>
      </c>
    </row>
    <row r="138" ht="20" customHeight="1">
      <c r="A138" s="21" t="n">
        <v>134</v>
      </c>
      <c r="B138" s="21" t="inlineStr">
        <is>
          <t>2026-12-22</t>
        </is>
      </c>
      <c r="C138" s="21" t="n">
        <v>12</v>
      </c>
      <c r="D138" s="45" t="inlineStr">
        <is>
          <t>Kleidung &amp; Shopping</t>
        </is>
      </c>
      <c r="E138" s="45" t="inlineStr">
        <is>
          <t>Wünsche (30%)</t>
        </is>
      </c>
      <c r="F138" s="76" t="inlineStr">
        <is>
          <t>Ausgabe</t>
        </is>
      </c>
      <c r="G138" s="25" t="n">
        <v>89.90000000000001</v>
      </c>
      <c r="H138" s="21" t="inlineStr">
        <is>
          <t>PayPal</t>
        </is>
      </c>
      <c r="I138" s="45" t="inlineStr">
        <is>
          <t>Bekleidungseinkauf / Schuhe</t>
        </is>
      </c>
    </row>
    <row r="139" ht="20" customHeight="1">
      <c r="A139" s="21" t="n">
        <v>135</v>
      </c>
      <c r="B139" s="21" t="inlineStr">
        <is>
          <t>2026-12-27</t>
        </is>
      </c>
      <c r="C139" s="21" t="n">
        <v>12</v>
      </c>
      <c r="D139" s="45" t="inlineStr">
        <is>
          <t>Restaurant &amp; Ausgehen</t>
        </is>
      </c>
      <c r="E139" s="45" t="inlineStr">
        <is>
          <t>Wünsche (30%)</t>
        </is>
      </c>
      <c r="F139" s="76" t="inlineStr">
        <is>
          <t>Ausgabe</t>
        </is>
      </c>
      <c r="G139" s="25" t="n">
        <v>45</v>
      </c>
      <c r="H139" s="21" t="inlineStr">
        <is>
          <t>Girocard / Debit</t>
        </is>
      </c>
      <c r="I139" s="45" t="inlineStr">
        <is>
          <t>Lieferdienst Pizza / Sushi am Sonntag</t>
        </is>
      </c>
    </row>
    <row r="140" ht="20" customHeight="1">
      <c r="A140" s="26" t="n">
        <v>136</v>
      </c>
      <c r="B140" s="21" t="n"/>
      <c r="C140" s="21" t="str">
        <f>IF(ISNUMBER(B140),MONTH(B140),IF(B140&lt;&gt;"",1,""))</f>
        <v/>
      </c>
      <c r="D140" s="45" t="n"/>
      <c r="E140" s="45" t="n"/>
      <c r="F140" s="21" t="n"/>
      <c r="G140" s="25" t="n"/>
      <c r="H140" s="21" t="n"/>
      <c r="I140" s="45" t="n"/>
    </row>
    <row r="141" ht="20" customHeight="1">
      <c r="A141" s="26" t="n">
        <v>137</v>
      </c>
      <c r="B141" s="21" t="n"/>
      <c r="C141" s="21" t="str">
        <f>IF(ISNUMBER(B141),MONTH(B141),IF(B141&lt;&gt;"",1,""))</f>
        <v/>
      </c>
      <c r="D141" s="45" t="n"/>
      <c r="E141" s="45" t="n"/>
      <c r="F141" s="21" t="n"/>
      <c r="G141" s="25" t="n"/>
      <c r="H141" s="21" t="n"/>
      <c r="I141" s="45" t="n"/>
    </row>
    <row r="142" ht="20" customHeight="1">
      <c r="A142" s="26" t="n">
        <v>138</v>
      </c>
      <c r="B142" s="21" t="n"/>
      <c r="C142" s="21" t="str">
        <f>IF(ISNUMBER(B142),MONTH(B142),IF(B142&lt;&gt;"",1,""))</f>
        <v/>
      </c>
      <c r="D142" s="45" t="n"/>
      <c r="E142" s="45" t="n"/>
      <c r="F142" s="21" t="n"/>
      <c r="G142" s="25" t="n"/>
      <c r="H142" s="21" t="n"/>
      <c r="I142" s="45" t="n"/>
    </row>
    <row r="143" ht="20" customHeight="1">
      <c r="A143" s="26" t="n">
        <v>139</v>
      </c>
      <c r="B143" s="21" t="n"/>
      <c r="C143" s="21" t="str">
        <f>IF(ISNUMBER(B143),MONTH(B143),IF(B143&lt;&gt;"",1,""))</f>
        <v/>
      </c>
      <c r="D143" s="45" t="n"/>
      <c r="E143" s="45" t="n"/>
      <c r="F143" s="21" t="n"/>
      <c r="G143" s="25" t="n"/>
      <c r="H143" s="21" t="n"/>
      <c r="I143" s="45" t="n"/>
    </row>
    <row r="144" ht="20" customHeight="1">
      <c r="A144" s="26" t="n">
        <v>140</v>
      </c>
      <c r="B144" s="21" t="n"/>
      <c r="C144" s="21" t="str">
        <f>IF(ISNUMBER(B144),MONTH(B144),IF(B144&lt;&gt;"",1,""))</f>
        <v/>
      </c>
      <c r="D144" s="45" t="n"/>
      <c r="E144" s="45" t="n"/>
      <c r="F144" s="21" t="n"/>
      <c r="G144" s="25" t="n"/>
      <c r="H144" s="21" t="n"/>
      <c r="I144" s="45" t="n"/>
    </row>
    <row r="145" ht="20" customHeight="1">
      <c r="A145" s="26" t="n">
        <v>141</v>
      </c>
      <c r="B145" s="21" t="n"/>
      <c r="C145" s="21" t="str">
        <f>IF(ISNUMBER(B145),MONTH(B145),IF(B145&lt;&gt;"",1,""))</f>
        <v/>
      </c>
      <c r="D145" s="45" t="n"/>
      <c r="E145" s="45" t="n"/>
      <c r="F145" s="21" t="n"/>
      <c r="G145" s="25" t="n"/>
      <c r="H145" s="21" t="n"/>
      <c r="I145" s="45" t="n"/>
    </row>
    <row r="146" ht="20" customHeight="1">
      <c r="A146" s="26" t="n">
        <v>142</v>
      </c>
      <c r="B146" s="21" t="n"/>
      <c r="C146" s="21" t="str">
        <f>IF(ISNUMBER(B146),MONTH(B146),IF(B146&lt;&gt;"",1,""))</f>
        <v/>
      </c>
      <c r="D146" s="45" t="n"/>
      <c r="E146" s="45" t="n"/>
      <c r="F146" s="21" t="n"/>
      <c r="G146" s="25" t="n"/>
      <c r="H146" s="21" t="n"/>
      <c r="I146" s="45" t="n"/>
    </row>
    <row r="147" ht="20" customHeight="1">
      <c r="A147" s="26" t="n">
        <v>143</v>
      </c>
      <c r="B147" s="21" t="n"/>
      <c r="C147" s="21" t="str">
        <f>IF(ISNUMBER(B147),MONTH(B147),IF(B147&lt;&gt;"",1,""))</f>
        <v/>
      </c>
      <c r="D147" s="45" t="n"/>
      <c r="E147" s="45" t="n"/>
      <c r="F147" s="21" t="n"/>
      <c r="G147" s="25" t="n"/>
      <c r="H147" s="21" t="n"/>
      <c r="I147" s="45" t="n"/>
    </row>
    <row r="148" ht="20" customHeight="1">
      <c r="A148" s="26" t="n">
        <v>144</v>
      </c>
      <c r="B148" s="21" t="n"/>
      <c r="C148" s="21" t="str">
        <f>IF(ISNUMBER(B148),MONTH(B148),IF(B148&lt;&gt;"",1,""))</f>
        <v/>
      </c>
      <c r="D148" s="45" t="n"/>
      <c r="E148" s="45" t="n"/>
      <c r="F148" s="21" t="n"/>
      <c r="G148" s="25" t="n"/>
      <c r="H148" s="21" t="n"/>
      <c r="I148" s="45" t="n"/>
    </row>
    <row r="149" ht="20" customHeight="1">
      <c r="A149" s="26" t="n">
        <v>145</v>
      </c>
      <c r="B149" s="21" t="n"/>
      <c r="C149" s="21" t="str">
        <f>IF(ISNUMBER(B149),MONTH(B149),IF(B149&lt;&gt;"",1,""))</f>
        <v/>
      </c>
      <c r="D149" s="45" t="n"/>
      <c r="E149" s="45" t="n"/>
      <c r="F149" s="21" t="n"/>
      <c r="G149" s="25" t="n"/>
      <c r="H149" s="21" t="n"/>
      <c r="I149" s="45" t="n"/>
    </row>
    <row r="150" ht="20" customHeight="1">
      <c r="A150" s="26" t="n">
        <v>146</v>
      </c>
      <c r="B150" s="21" t="n"/>
      <c r="C150" s="21" t="str">
        <f>IF(ISNUMBER(B150),MONTH(B150),IF(B150&lt;&gt;"",1,""))</f>
        <v/>
      </c>
      <c r="D150" s="45" t="n"/>
      <c r="E150" s="45" t="n"/>
      <c r="F150" s="21" t="n"/>
      <c r="G150" s="25" t="n"/>
      <c r="H150" s="21" t="n"/>
      <c r="I150" s="45" t="n"/>
    </row>
    <row r="151" ht="20" customHeight="1">
      <c r="A151" s="26" t="n">
        <v>147</v>
      </c>
      <c r="B151" s="21" t="n"/>
      <c r="C151" s="21" t="str">
        <f>IF(ISNUMBER(B151),MONTH(B151),IF(B151&lt;&gt;"",1,""))</f>
        <v/>
      </c>
      <c r="D151" s="45" t="n"/>
      <c r="E151" s="45" t="n"/>
      <c r="F151" s="21" t="n"/>
      <c r="G151" s="25" t="n"/>
      <c r="H151" s="21" t="n"/>
      <c r="I151" s="45" t="n"/>
    </row>
    <row r="152" ht="20" customHeight="1">
      <c r="A152" s="26" t="n">
        <v>148</v>
      </c>
      <c r="B152" s="21" t="n"/>
      <c r="C152" s="21" t="str">
        <f>IF(ISNUMBER(B152),MONTH(B152),IF(B152&lt;&gt;"",1,""))</f>
        <v/>
      </c>
      <c r="D152" s="45" t="n"/>
      <c r="E152" s="45" t="n"/>
      <c r="F152" s="21" t="n"/>
      <c r="G152" s="25" t="n"/>
      <c r="H152" s="21" t="n"/>
      <c r="I152" s="45" t="n"/>
    </row>
    <row r="153" ht="20" customHeight="1">
      <c r="A153" s="26" t="n">
        <v>149</v>
      </c>
      <c r="B153" s="21" t="n"/>
      <c r="C153" s="21" t="str">
        <f>IF(ISNUMBER(B153),MONTH(B153),IF(B153&lt;&gt;"",1,""))</f>
        <v/>
      </c>
      <c r="D153" s="45" t="n"/>
      <c r="E153" s="45" t="n"/>
      <c r="F153" s="21" t="n"/>
      <c r="G153" s="25" t="n"/>
      <c r="H153" s="21" t="n"/>
      <c r="I153" s="45" t="n"/>
    </row>
    <row r="154" ht="20" customHeight="1">
      <c r="A154" s="26" t="n">
        <v>150</v>
      </c>
      <c r="B154" s="21" t="n"/>
      <c r="C154" s="21" t="str">
        <f>IF(ISNUMBER(B154),MONTH(B154),IF(B154&lt;&gt;"",1,""))</f>
        <v/>
      </c>
      <c r="D154" s="45" t="n"/>
      <c r="E154" s="45" t="n"/>
      <c r="F154" s="21" t="n"/>
      <c r="G154" s="25" t="n"/>
      <c r="H154" s="21" t="n"/>
      <c r="I154" s="45" t="n"/>
    </row>
    <row r="155" ht="20" customHeight="1">
      <c r="A155" s="26" t="n">
        <v>151</v>
      </c>
      <c r="B155" s="21" t="n"/>
      <c r="C155" s="21" t="str">
        <f>IF(ISNUMBER(B155),MONTH(B155),IF(B155&lt;&gt;"",1,""))</f>
        <v/>
      </c>
      <c r="D155" s="45" t="n"/>
      <c r="E155" s="45" t="n"/>
      <c r="F155" s="21" t="n"/>
      <c r="G155" s="25" t="n"/>
      <c r="H155" s="21" t="n"/>
      <c r="I155" s="45" t="n"/>
    </row>
    <row r="156" ht="20" customHeight="1">
      <c r="A156" s="26" t="n">
        <v>152</v>
      </c>
      <c r="B156" s="21" t="n"/>
      <c r="C156" s="21" t="str">
        <f>IF(ISNUMBER(B156),MONTH(B156),IF(B156&lt;&gt;"",1,""))</f>
        <v/>
      </c>
      <c r="D156" s="45" t="n"/>
      <c r="E156" s="45" t="n"/>
      <c r="F156" s="21" t="n"/>
      <c r="G156" s="25" t="n"/>
      <c r="H156" s="21" t="n"/>
      <c r="I156" s="45" t="n"/>
    </row>
    <row r="157" ht="20" customHeight="1">
      <c r="A157" s="26" t="n">
        <v>153</v>
      </c>
      <c r="B157" s="21" t="n"/>
      <c r="C157" s="21" t="str">
        <f>IF(ISNUMBER(B157),MONTH(B157),IF(B157&lt;&gt;"",1,""))</f>
        <v/>
      </c>
      <c r="D157" s="45" t="n"/>
      <c r="E157" s="45" t="n"/>
      <c r="F157" s="21" t="n"/>
      <c r="G157" s="25" t="n"/>
      <c r="H157" s="21" t="n"/>
      <c r="I157" s="45" t="n"/>
    </row>
    <row r="158" ht="20" customHeight="1">
      <c r="A158" s="26" t="n">
        <v>154</v>
      </c>
      <c r="B158" s="21" t="n"/>
      <c r="C158" s="21" t="str">
        <f>IF(ISNUMBER(B158),MONTH(B158),IF(B158&lt;&gt;"",1,""))</f>
        <v/>
      </c>
      <c r="D158" s="45" t="n"/>
      <c r="E158" s="45" t="n"/>
      <c r="F158" s="21" t="n"/>
      <c r="G158" s="25" t="n"/>
      <c r="H158" s="21" t="n"/>
      <c r="I158" s="45" t="n"/>
    </row>
    <row r="159" ht="20" customHeight="1">
      <c r="A159" s="26" t="n">
        <v>155</v>
      </c>
      <c r="B159" s="21" t="n"/>
      <c r="C159" s="21" t="str">
        <f>IF(ISNUMBER(B159),MONTH(B159),IF(B159&lt;&gt;"",1,""))</f>
        <v/>
      </c>
      <c r="D159" s="45" t="n"/>
      <c r="E159" s="45" t="n"/>
      <c r="F159" s="21" t="n"/>
      <c r="G159" s="25" t="n"/>
      <c r="H159" s="21" t="n"/>
      <c r="I159" s="45" t="n"/>
    </row>
    <row r="160" ht="20" customHeight="1">
      <c r="A160" s="26" t="n">
        <v>156</v>
      </c>
      <c r="B160" s="21" t="n"/>
      <c r="C160" s="21" t="str">
        <f>IF(ISNUMBER(B160),MONTH(B160),IF(B160&lt;&gt;"",1,""))</f>
        <v/>
      </c>
      <c r="D160" s="45" t="n"/>
      <c r="E160" s="45" t="n"/>
      <c r="F160" s="21" t="n"/>
      <c r="G160" s="25" t="n"/>
      <c r="H160" s="21" t="n"/>
      <c r="I160" s="45" t="n"/>
    </row>
    <row r="161" ht="20" customHeight="1">
      <c r="A161" s="26" t="n">
        <v>157</v>
      </c>
      <c r="B161" s="21" t="n"/>
      <c r="C161" s="21" t="str">
        <f>IF(ISNUMBER(B161),MONTH(B161),IF(B161&lt;&gt;"",1,""))</f>
        <v/>
      </c>
      <c r="D161" s="45" t="n"/>
      <c r="E161" s="45" t="n"/>
      <c r="F161" s="21" t="n"/>
      <c r="G161" s="25" t="n"/>
      <c r="H161" s="21" t="n"/>
      <c r="I161" s="45" t="n"/>
    </row>
    <row r="162" ht="20" customHeight="1">
      <c r="A162" s="26" t="n">
        <v>158</v>
      </c>
      <c r="B162" s="21" t="n"/>
      <c r="C162" s="21" t="str">
        <f>IF(ISNUMBER(B162),MONTH(B162),IF(B162&lt;&gt;"",1,""))</f>
        <v/>
      </c>
      <c r="D162" s="45" t="n"/>
      <c r="E162" s="45" t="n"/>
      <c r="F162" s="21" t="n"/>
      <c r="G162" s="25" t="n"/>
      <c r="H162" s="21" t="n"/>
      <c r="I162" s="45" t="n"/>
    </row>
    <row r="163" ht="20" customHeight="1">
      <c r="A163" s="26" t="n">
        <v>159</v>
      </c>
      <c r="B163" s="21" t="n"/>
      <c r="C163" s="21" t="str">
        <f>IF(ISNUMBER(B163),MONTH(B163),IF(B163&lt;&gt;"",1,""))</f>
        <v/>
      </c>
      <c r="D163" s="45" t="n"/>
      <c r="E163" s="45" t="n"/>
      <c r="F163" s="21" t="n"/>
      <c r="G163" s="25" t="n"/>
      <c r="H163" s="21" t="n"/>
      <c r="I163" s="45" t="n"/>
    </row>
    <row r="164" ht="20" customHeight="1">
      <c r="A164" s="26" t="n">
        <v>160</v>
      </c>
      <c r="B164" s="21" t="n"/>
      <c r="C164" s="21" t="str">
        <f>IF(ISNUMBER(B164),MONTH(B164),IF(B164&lt;&gt;"",1,""))</f>
        <v/>
      </c>
      <c r="D164" s="45" t="n"/>
      <c r="E164" s="45" t="n"/>
      <c r="F164" s="21" t="n"/>
      <c r="G164" s="25" t="n"/>
      <c r="H164" s="21" t="n"/>
      <c r="I164" s="45" t="n"/>
    </row>
    <row r="165" ht="20" customHeight="1">
      <c r="A165" s="26" t="n">
        <v>161</v>
      </c>
      <c r="B165" s="21" t="n"/>
      <c r="C165" s="21" t="str">
        <f>IF(ISNUMBER(B165),MONTH(B165),IF(B165&lt;&gt;"",1,""))</f>
        <v/>
      </c>
      <c r="D165" s="45" t="n"/>
      <c r="E165" s="45" t="n"/>
      <c r="F165" s="21" t="n"/>
      <c r="G165" s="25" t="n"/>
      <c r="H165" s="21" t="n"/>
      <c r="I165" s="45" t="n"/>
    </row>
    <row r="166" ht="20" customHeight="1">
      <c r="A166" s="26" t="n">
        <v>162</v>
      </c>
      <c r="B166" s="21" t="n"/>
      <c r="C166" s="21" t="str">
        <f>IF(ISNUMBER(B166),MONTH(B166),IF(B166&lt;&gt;"",1,""))</f>
        <v/>
      </c>
      <c r="D166" s="45" t="n"/>
      <c r="E166" s="45" t="n"/>
      <c r="F166" s="21" t="n"/>
      <c r="G166" s="25" t="n"/>
      <c r="H166" s="21" t="n"/>
      <c r="I166" s="45" t="n"/>
    </row>
    <row r="167" ht="20" customHeight="1">
      <c r="A167" s="26" t="n">
        <v>163</v>
      </c>
      <c r="B167" s="21" t="n"/>
      <c r="C167" s="21" t="str">
        <f>IF(ISNUMBER(B167),MONTH(B167),IF(B167&lt;&gt;"",1,""))</f>
        <v/>
      </c>
      <c r="D167" s="45" t="n"/>
      <c r="E167" s="45" t="n"/>
      <c r="F167" s="21" t="n"/>
      <c r="G167" s="25" t="n"/>
      <c r="H167" s="21" t="n"/>
      <c r="I167" s="45" t="n"/>
    </row>
    <row r="168" ht="20" customHeight="1">
      <c r="A168" s="26" t="n">
        <v>164</v>
      </c>
      <c r="B168" s="21" t="n"/>
      <c r="C168" s="21" t="str">
        <f>IF(ISNUMBER(B168),MONTH(B168),IF(B168&lt;&gt;"",1,""))</f>
        <v/>
      </c>
      <c r="D168" s="45" t="n"/>
      <c r="E168" s="45" t="n"/>
      <c r="F168" s="21" t="n"/>
      <c r="G168" s="25" t="n"/>
      <c r="H168" s="21" t="n"/>
      <c r="I168" s="45" t="n"/>
    </row>
    <row r="169" ht="20" customHeight="1">
      <c r="A169" s="26" t="n">
        <v>165</v>
      </c>
      <c r="B169" s="21" t="n"/>
      <c r="C169" s="21" t="str">
        <f>IF(ISNUMBER(B169),MONTH(B169),IF(B169&lt;&gt;"",1,""))</f>
        <v/>
      </c>
      <c r="D169" s="45" t="n"/>
      <c r="E169" s="45" t="n"/>
      <c r="F169" s="21" t="n"/>
      <c r="G169" s="25" t="n"/>
      <c r="H169" s="21" t="n"/>
      <c r="I169" s="45" t="n"/>
    </row>
    <row r="170" ht="20" customHeight="1">
      <c r="A170" s="26" t="n">
        <v>166</v>
      </c>
      <c r="B170" s="21" t="n"/>
      <c r="C170" s="21" t="str">
        <f>IF(ISNUMBER(B170),MONTH(B170),IF(B170&lt;&gt;"",1,""))</f>
        <v/>
      </c>
      <c r="D170" s="45" t="n"/>
      <c r="E170" s="45" t="n"/>
      <c r="F170" s="21" t="n"/>
      <c r="G170" s="25" t="n"/>
      <c r="H170" s="21" t="n"/>
      <c r="I170" s="45" t="n"/>
    </row>
    <row r="171" ht="20" customHeight="1">
      <c r="A171" s="26" t="n">
        <v>167</v>
      </c>
      <c r="B171" s="21" t="n"/>
      <c r="C171" s="21" t="str">
        <f>IF(ISNUMBER(B171),MONTH(B171),IF(B171&lt;&gt;"",1,""))</f>
        <v/>
      </c>
      <c r="D171" s="45" t="n"/>
      <c r="E171" s="45" t="n"/>
      <c r="F171" s="21" t="n"/>
      <c r="G171" s="25" t="n"/>
      <c r="H171" s="21" t="n"/>
      <c r="I171" s="45" t="n"/>
    </row>
    <row r="172" ht="20" customHeight="1">
      <c r="A172" s="26" t="n">
        <v>168</v>
      </c>
      <c r="B172" s="21" t="n"/>
      <c r="C172" s="21" t="str">
        <f>IF(ISNUMBER(B172),MONTH(B172),IF(B172&lt;&gt;"",1,""))</f>
        <v/>
      </c>
      <c r="D172" s="45" t="n"/>
      <c r="E172" s="45" t="n"/>
      <c r="F172" s="21" t="n"/>
      <c r="G172" s="25" t="n"/>
      <c r="H172" s="21" t="n"/>
      <c r="I172" s="45" t="n"/>
    </row>
    <row r="173" ht="20" customHeight="1">
      <c r="A173" s="26" t="n">
        <v>169</v>
      </c>
      <c r="B173" s="21" t="n"/>
      <c r="C173" s="21" t="str">
        <f>IF(ISNUMBER(B173),MONTH(B173),IF(B173&lt;&gt;"",1,""))</f>
        <v/>
      </c>
      <c r="D173" s="45" t="n"/>
      <c r="E173" s="45" t="n"/>
      <c r="F173" s="21" t="n"/>
      <c r="G173" s="25" t="n"/>
      <c r="H173" s="21" t="n"/>
      <c r="I173" s="45" t="n"/>
    </row>
    <row r="174" ht="20" customHeight="1">
      <c r="A174" s="26" t="n">
        <v>170</v>
      </c>
      <c r="B174" s="21" t="n"/>
      <c r="C174" s="21" t="str">
        <f>IF(ISNUMBER(B174),MONTH(B174),IF(B174&lt;&gt;"",1,""))</f>
        <v/>
      </c>
      <c r="D174" s="45" t="n"/>
      <c r="E174" s="45" t="n"/>
      <c r="F174" s="21" t="n"/>
      <c r="G174" s="25" t="n"/>
      <c r="H174" s="21" t="n"/>
      <c r="I174" s="45" t="n"/>
    </row>
    <row r="175" ht="20" customHeight="1">
      <c r="A175" s="26" t="n">
        <v>171</v>
      </c>
      <c r="B175" s="21" t="n"/>
      <c r="C175" s="21" t="str">
        <f>IF(ISNUMBER(B175),MONTH(B175),IF(B175&lt;&gt;"",1,""))</f>
        <v/>
      </c>
      <c r="D175" s="45" t="n"/>
      <c r="E175" s="45" t="n"/>
      <c r="F175" s="21" t="n"/>
      <c r="G175" s="25" t="n"/>
      <c r="H175" s="21" t="n"/>
      <c r="I175" s="45" t="n"/>
    </row>
    <row r="176" ht="20" customHeight="1">
      <c r="A176" s="26" t="n">
        <v>172</v>
      </c>
      <c r="B176" s="21" t="n"/>
      <c r="C176" s="21" t="str">
        <f>IF(ISNUMBER(B176),MONTH(B176),IF(B176&lt;&gt;"",1,""))</f>
        <v/>
      </c>
      <c r="D176" s="45" t="n"/>
      <c r="E176" s="45" t="n"/>
      <c r="F176" s="21" t="n"/>
      <c r="G176" s="25" t="n"/>
      <c r="H176" s="21" t="n"/>
      <c r="I176" s="45" t="n"/>
    </row>
    <row r="177" ht="20" customHeight="1">
      <c r="A177" s="26" t="n">
        <v>173</v>
      </c>
      <c r="B177" s="21" t="n"/>
      <c r="C177" s="21" t="str">
        <f>IF(ISNUMBER(B177),MONTH(B177),IF(B177&lt;&gt;"",1,""))</f>
        <v/>
      </c>
      <c r="D177" s="45" t="n"/>
      <c r="E177" s="45" t="n"/>
      <c r="F177" s="21" t="n"/>
      <c r="G177" s="25" t="n"/>
      <c r="H177" s="21" t="n"/>
      <c r="I177" s="45" t="n"/>
    </row>
    <row r="178" ht="20" customHeight="1">
      <c r="A178" s="26" t="n">
        <v>174</v>
      </c>
      <c r="B178" s="21" t="n"/>
      <c r="C178" s="21" t="str">
        <f>IF(ISNUMBER(B178),MONTH(B178),IF(B178&lt;&gt;"",1,""))</f>
        <v/>
      </c>
      <c r="D178" s="45" t="n"/>
      <c r="E178" s="45" t="n"/>
      <c r="F178" s="21" t="n"/>
      <c r="G178" s="25" t="n"/>
      <c r="H178" s="21" t="n"/>
      <c r="I178" s="45" t="n"/>
    </row>
    <row r="179" ht="20" customHeight="1">
      <c r="A179" s="26" t="n">
        <v>175</v>
      </c>
      <c r="B179" s="21" t="n"/>
      <c r="C179" s="21" t="str">
        <f>IF(ISNUMBER(B179),MONTH(B179),IF(B179&lt;&gt;"",1,""))</f>
        <v/>
      </c>
      <c r="D179" s="45" t="n"/>
      <c r="E179" s="45" t="n"/>
      <c r="F179" s="21" t="n"/>
      <c r="G179" s="25" t="n"/>
      <c r="H179" s="21" t="n"/>
      <c r="I179" s="45" t="n"/>
    </row>
    <row r="180" ht="20" customHeight="1">
      <c r="A180" s="26" t="n">
        <v>176</v>
      </c>
      <c r="B180" s="21" t="n"/>
      <c r="C180" s="21" t="str">
        <f>IF(ISNUMBER(B180),MONTH(B180),IF(B180&lt;&gt;"",1,""))</f>
        <v/>
      </c>
      <c r="D180" s="45" t="n"/>
      <c r="E180" s="45" t="n"/>
      <c r="F180" s="21" t="n"/>
      <c r="G180" s="25" t="n"/>
      <c r="H180" s="21" t="n"/>
      <c r="I180" s="45" t="n"/>
    </row>
    <row r="181" ht="20" customHeight="1">
      <c r="A181" s="26" t="n">
        <v>177</v>
      </c>
      <c r="B181" s="21" t="n"/>
      <c r="C181" s="21" t="str">
        <f>IF(ISNUMBER(B181),MONTH(B181),IF(B181&lt;&gt;"",1,""))</f>
        <v/>
      </c>
      <c r="D181" s="45" t="n"/>
      <c r="E181" s="45" t="n"/>
      <c r="F181" s="21" t="n"/>
      <c r="G181" s="25" t="n"/>
      <c r="H181" s="21" t="n"/>
      <c r="I181" s="45" t="n"/>
    </row>
    <row r="182" ht="20" customHeight="1">
      <c r="A182" s="26" t="n">
        <v>178</v>
      </c>
      <c r="B182" s="21" t="n"/>
      <c r="C182" s="21" t="str">
        <f>IF(ISNUMBER(B182),MONTH(B182),IF(B182&lt;&gt;"",1,""))</f>
        <v/>
      </c>
      <c r="D182" s="45" t="n"/>
      <c r="E182" s="45" t="n"/>
      <c r="F182" s="21" t="n"/>
      <c r="G182" s="25" t="n"/>
      <c r="H182" s="21" t="n"/>
      <c r="I182" s="45" t="n"/>
    </row>
    <row r="183" ht="20" customHeight="1">
      <c r="A183" s="26" t="n">
        <v>179</v>
      </c>
      <c r="B183" s="21" t="n"/>
      <c r="C183" s="21" t="str">
        <f>IF(ISNUMBER(B183),MONTH(B183),IF(B183&lt;&gt;"",1,""))</f>
        <v/>
      </c>
      <c r="D183" s="45" t="n"/>
      <c r="E183" s="45" t="n"/>
      <c r="F183" s="21" t="n"/>
      <c r="G183" s="25" t="n"/>
      <c r="H183" s="21" t="n"/>
      <c r="I183" s="45" t="n"/>
    </row>
    <row r="184" ht="20" customHeight="1">
      <c r="A184" s="26" t="n">
        <v>180</v>
      </c>
      <c r="B184" s="21" t="n"/>
      <c r="C184" s="21" t="str">
        <f>IF(ISNUMBER(B184),MONTH(B184),IF(B184&lt;&gt;"",1,""))</f>
        <v/>
      </c>
      <c r="D184" s="45" t="n"/>
      <c r="E184" s="45" t="n"/>
      <c r="F184" s="21" t="n"/>
      <c r="G184" s="25" t="n"/>
      <c r="H184" s="21" t="n"/>
      <c r="I184" s="45" t="n"/>
    </row>
    <row r="185" ht="20" customHeight="1">
      <c r="A185" s="26" t="n">
        <v>181</v>
      </c>
      <c r="B185" s="21" t="n"/>
      <c r="C185" s="21" t="str">
        <f>IF(ISNUMBER(B185),MONTH(B185),IF(B185&lt;&gt;"",1,""))</f>
        <v/>
      </c>
      <c r="D185" s="45" t="n"/>
      <c r="E185" s="45" t="n"/>
      <c r="F185" s="21" t="n"/>
      <c r="G185" s="25" t="n"/>
      <c r="H185" s="21" t="n"/>
      <c r="I185" s="45" t="n"/>
    </row>
    <row r="186" ht="20" customHeight="1">
      <c r="A186" s="26" t="n">
        <v>182</v>
      </c>
      <c r="B186" s="21" t="n"/>
      <c r="C186" s="21" t="str">
        <f>IF(ISNUMBER(B186),MONTH(B186),IF(B186&lt;&gt;"",1,""))</f>
        <v/>
      </c>
      <c r="D186" s="45" t="n"/>
      <c r="E186" s="45" t="n"/>
      <c r="F186" s="21" t="n"/>
      <c r="G186" s="25" t="n"/>
      <c r="H186" s="21" t="n"/>
      <c r="I186" s="45" t="n"/>
    </row>
    <row r="187" ht="20" customHeight="1">
      <c r="A187" s="26" t="n">
        <v>183</v>
      </c>
      <c r="B187" s="21" t="n"/>
      <c r="C187" s="21" t="str">
        <f>IF(ISNUMBER(B187),MONTH(B187),IF(B187&lt;&gt;"",1,""))</f>
        <v/>
      </c>
      <c r="D187" s="45" t="n"/>
      <c r="E187" s="45" t="n"/>
      <c r="F187" s="21" t="n"/>
      <c r="G187" s="25" t="n"/>
      <c r="H187" s="21" t="n"/>
      <c r="I187" s="45" t="n"/>
    </row>
    <row r="188" ht="20" customHeight="1">
      <c r="A188" s="26" t="n">
        <v>184</v>
      </c>
      <c r="B188" s="21" t="n"/>
      <c r="C188" s="21" t="str">
        <f>IF(ISNUMBER(B188),MONTH(B188),IF(B188&lt;&gt;"",1,""))</f>
        <v/>
      </c>
      <c r="D188" s="45" t="n"/>
      <c r="E188" s="45" t="n"/>
      <c r="F188" s="21" t="n"/>
      <c r="G188" s="25" t="n"/>
      <c r="H188" s="21" t="n"/>
      <c r="I188" s="45" t="n"/>
    </row>
    <row r="189" ht="20" customHeight="1">
      <c r="A189" s="26" t="n">
        <v>185</v>
      </c>
      <c r="B189" s="21" t="n"/>
      <c r="C189" s="21" t="str">
        <f>IF(ISNUMBER(B189),MONTH(B189),IF(B189&lt;&gt;"",1,""))</f>
        <v/>
      </c>
      <c r="D189" s="45" t="n"/>
      <c r="E189" s="45" t="n"/>
      <c r="F189" s="21" t="n"/>
      <c r="G189" s="25" t="n"/>
      <c r="H189" s="21" t="n"/>
      <c r="I189" s="45" t="n"/>
    </row>
    <row r="190" ht="20" customHeight="1">
      <c r="A190" s="26" t="n">
        <v>186</v>
      </c>
      <c r="B190" s="21" t="n"/>
      <c r="C190" s="21" t="str">
        <f>IF(ISNUMBER(B190),MONTH(B190),IF(B190&lt;&gt;"",1,""))</f>
        <v/>
      </c>
      <c r="D190" s="45" t="n"/>
      <c r="E190" s="45" t="n"/>
      <c r="F190" s="21" t="n"/>
      <c r="G190" s="25" t="n"/>
      <c r="H190" s="21" t="n"/>
      <c r="I190" s="45" t="n"/>
    </row>
    <row r="191" ht="20" customHeight="1">
      <c r="A191" s="26" t="n">
        <v>187</v>
      </c>
      <c r="B191" s="21" t="n"/>
      <c r="C191" s="21" t="str">
        <f>IF(ISNUMBER(B191),MONTH(B191),IF(B191&lt;&gt;"",1,""))</f>
        <v/>
      </c>
      <c r="D191" s="45" t="n"/>
      <c r="E191" s="45" t="n"/>
      <c r="F191" s="21" t="n"/>
      <c r="G191" s="25" t="n"/>
      <c r="H191" s="21" t="n"/>
      <c r="I191" s="45" t="n"/>
    </row>
    <row r="192" ht="20" customHeight="1">
      <c r="A192" s="26" t="n">
        <v>188</v>
      </c>
      <c r="B192" s="21" t="n"/>
      <c r="C192" s="21" t="str">
        <f>IF(ISNUMBER(B192),MONTH(B192),IF(B192&lt;&gt;"",1,""))</f>
        <v/>
      </c>
      <c r="D192" s="45" t="n"/>
      <c r="E192" s="45" t="n"/>
      <c r="F192" s="21" t="n"/>
      <c r="G192" s="25" t="n"/>
      <c r="H192" s="21" t="n"/>
      <c r="I192" s="45" t="n"/>
    </row>
    <row r="193" ht="20" customHeight="1">
      <c r="A193" s="26" t="n">
        <v>189</v>
      </c>
      <c r="B193" s="21" t="n"/>
      <c r="C193" s="21" t="str">
        <f>IF(ISNUMBER(B193),MONTH(B193),IF(B193&lt;&gt;"",1,""))</f>
        <v/>
      </c>
      <c r="D193" s="45" t="n"/>
      <c r="E193" s="45" t="n"/>
      <c r="F193" s="21" t="n"/>
      <c r="G193" s="25" t="n"/>
      <c r="H193" s="21" t="n"/>
      <c r="I193" s="45" t="n"/>
    </row>
    <row r="194" ht="20" customHeight="1">
      <c r="A194" s="26" t="n">
        <v>190</v>
      </c>
      <c r="B194" s="21" t="n"/>
      <c r="C194" s="21" t="str">
        <f>IF(ISNUMBER(B194),MONTH(B194),IF(B194&lt;&gt;"",1,""))</f>
        <v/>
      </c>
      <c r="D194" s="45" t="n"/>
      <c r="E194" s="45" t="n"/>
      <c r="F194" s="21" t="n"/>
      <c r="G194" s="25" t="n"/>
      <c r="H194" s="21" t="n"/>
      <c r="I194" s="45" t="n"/>
    </row>
    <row r="195" ht="20" customHeight="1">
      <c r="A195" s="26" t="n">
        <v>191</v>
      </c>
      <c r="B195" s="21" t="n"/>
      <c r="C195" s="21" t="str">
        <f>IF(ISNUMBER(B195),MONTH(B195),IF(B195&lt;&gt;"",1,""))</f>
        <v/>
      </c>
      <c r="D195" s="45" t="n"/>
      <c r="E195" s="45" t="n"/>
      <c r="F195" s="21" t="n"/>
      <c r="G195" s="25" t="n"/>
      <c r="H195" s="21" t="n"/>
      <c r="I195" s="45" t="n"/>
    </row>
    <row r="196" ht="20" customHeight="1">
      <c r="A196" s="26" t="n">
        <v>192</v>
      </c>
      <c r="B196" s="21" t="n"/>
      <c r="C196" s="21" t="str">
        <f>IF(ISNUMBER(B196),MONTH(B196),IF(B196&lt;&gt;"",1,""))</f>
        <v/>
      </c>
      <c r="D196" s="45" t="n"/>
      <c r="E196" s="45" t="n"/>
      <c r="F196" s="21" t="n"/>
      <c r="G196" s="25" t="n"/>
      <c r="H196" s="21" t="n"/>
      <c r="I196" s="45" t="n"/>
    </row>
    <row r="197" ht="20" customHeight="1">
      <c r="A197" s="26" t="n">
        <v>193</v>
      </c>
      <c r="B197" s="21" t="n"/>
      <c r="C197" s="21" t="str">
        <f>IF(ISNUMBER(B197),MONTH(B197),IF(B197&lt;&gt;"",1,""))</f>
        <v/>
      </c>
      <c r="D197" s="45" t="n"/>
      <c r="E197" s="45" t="n"/>
      <c r="F197" s="21" t="n"/>
      <c r="G197" s="25" t="n"/>
      <c r="H197" s="21" t="n"/>
      <c r="I197" s="45" t="n"/>
    </row>
    <row r="198" ht="20" customHeight="1">
      <c r="A198" s="26" t="n">
        <v>194</v>
      </c>
      <c r="B198" s="21" t="n"/>
      <c r="C198" s="21" t="str">
        <f>IF(ISNUMBER(B198),MONTH(B198),IF(B198&lt;&gt;"",1,""))</f>
        <v/>
      </c>
      <c r="D198" s="45" t="n"/>
      <c r="E198" s="45" t="n"/>
      <c r="F198" s="21" t="n"/>
      <c r="G198" s="25" t="n"/>
      <c r="H198" s="21" t="n"/>
      <c r="I198" s="45" t="n"/>
    </row>
    <row r="199" ht="20" customHeight="1">
      <c r="A199" s="26" t="n">
        <v>195</v>
      </c>
      <c r="B199" s="21" t="n"/>
      <c r="C199" s="21" t="str">
        <f>IF(ISNUMBER(B199),MONTH(B199),IF(B199&lt;&gt;"",1,""))</f>
        <v/>
      </c>
      <c r="D199" s="45" t="n"/>
      <c r="E199" s="45" t="n"/>
      <c r="F199" s="21" t="n"/>
      <c r="G199" s="25" t="n"/>
      <c r="H199" s="21" t="n"/>
      <c r="I199" s="45" t="n"/>
    </row>
    <row r="200" ht="20" customHeight="1">
      <c r="A200" s="26" t="n">
        <v>196</v>
      </c>
      <c r="B200" s="21" t="n"/>
      <c r="C200" s="21" t="str">
        <f>IF(ISNUMBER(B200),MONTH(B200),IF(B200&lt;&gt;"",1,""))</f>
        <v/>
      </c>
      <c r="D200" s="45" t="n"/>
      <c r="E200" s="45" t="n"/>
      <c r="F200" s="21" t="n"/>
      <c r="G200" s="25" t="n"/>
      <c r="H200" s="21" t="n"/>
      <c r="I200" s="45" t="n"/>
    </row>
    <row r="201" ht="20" customHeight="1">
      <c r="A201" s="26" t="n">
        <v>197</v>
      </c>
      <c r="B201" s="21" t="n"/>
      <c r="C201" s="21" t="str">
        <f>IF(ISNUMBER(B201),MONTH(B201),IF(B201&lt;&gt;"",1,""))</f>
        <v/>
      </c>
      <c r="D201" s="45" t="n"/>
      <c r="E201" s="45" t="n"/>
      <c r="F201" s="21" t="n"/>
      <c r="G201" s="25" t="n"/>
      <c r="H201" s="21" t="n"/>
      <c r="I201" s="45" t="n"/>
    </row>
    <row r="202" ht="20" customHeight="1">
      <c r="A202" s="26" t="n">
        <v>198</v>
      </c>
      <c r="B202" s="21" t="n"/>
      <c r="C202" s="21" t="str">
        <f>IF(ISNUMBER(B202),MONTH(B202),IF(B202&lt;&gt;"",1,""))</f>
        <v/>
      </c>
      <c r="D202" s="45" t="n"/>
      <c r="E202" s="45" t="n"/>
      <c r="F202" s="21" t="n"/>
      <c r="G202" s="25" t="n"/>
      <c r="H202" s="21" t="n"/>
      <c r="I202" s="45" t="n"/>
    </row>
    <row r="203" ht="20" customHeight="1">
      <c r="A203" s="26" t="n">
        <v>199</v>
      </c>
      <c r="B203" s="21" t="n"/>
      <c r="C203" s="21" t="str">
        <f>IF(ISNUMBER(B203),MONTH(B203),IF(B203&lt;&gt;"",1,""))</f>
        <v/>
      </c>
      <c r="D203" s="45" t="n"/>
      <c r="E203" s="45" t="n"/>
      <c r="F203" s="21" t="n"/>
      <c r="G203" s="25" t="n"/>
      <c r="H203" s="21" t="n"/>
      <c r="I203" s="45" t="n"/>
    </row>
    <row r="204" ht="20" customHeight="1">
      <c r="A204" s="26" t="n">
        <v>200</v>
      </c>
      <c r="B204" s="21" t="n"/>
      <c r="C204" s="21" t="str">
        <f>IF(ISNUMBER(B204),MONTH(B204),IF(B204&lt;&gt;"",1,""))</f>
        <v/>
      </c>
      <c r="D204" s="45" t="n"/>
      <c r="E204" s="45" t="n"/>
      <c r="F204" s="21" t="n"/>
      <c r="G204" s="25" t="n"/>
      <c r="H204" s="21" t="n"/>
      <c r="I204" s="45" t="n"/>
    </row>
    <row r="205" ht="20" customHeight="1">
      <c r="A205" s="26" t="n">
        <v>201</v>
      </c>
      <c r="B205" s="21" t="n"/>
      <c r="C205" s="21" t="str">
        <f>IF(ISNUMBER(B205),MONTH(B205),IF(B205&lt;&gt;"",1,""))</f>
        <v/>
      </c>
      <c r="D205" s="45" t="n"/>
      <c r="E205" s="45" t="n"/>
      <c r="F205" s="21" t="n"/>
      <c r="G205" s="25" t="n"/>
      <c r="H205" s="21" t="n"/>
      <c r="I205" s="45" t="n"/>
    </row>
    <row r="206" ht="20" customHeight="1">
      <c r="A206" s="26" t="n">
        <v>202</v>
      </c>
      <c r="B206" s="21" t="n"/>
      <c r="C206" s="21" t="str">
        <f>IF(ISNUMBER(B206),MONTH(B206),IF(B206&lt;&gt;"",1,""))</f>
        <v/>
      </c>
      <c r="D206" s="45" t="n"/>
      <c r="E206" s="45" t="n"/>
      <c r="F206" s="21" t="n"/>
      <c r="G206" s="25" t="n"/>
      <c r="H206" s="21" t="n"/>
      <c r="I206" s="45" t="n"/>
    </row>
    <row r="207" ht="20" customHeight="1">
      <c r="A207" s="26" t="n">
        <v>203</v>
      </c>
      <c r="B207" s="21" t="n"/>
      <c r="C207" s="21" t="str">
        <f>IF(ISNUMBER(B207),MONTH(B207),IF(B207&lt;&gt;"",1,""))</f>
        <v/>
      </c>
      <c r="D207" s="45" t="n"/>
      <c r="E207" s="45" t="n"/>
      <c r="F207" s="21" t="n"/>
      <c r="G207" s="25" t="n"/>
      <c r="H207" s="21" t="n"/>
      <c r="I207" s="45" t="n"/>
    </row>
    <row r="208" ht="20" customHeight="1">
      <c r="A208" s="26" t="n">
        <v>204</v>
      </c>
      <c r="B208" s="21" t="n"/>
      <c r="C208" s="21" t="str">
        <f>IF(ISNUMBER(B208),MONTH(B208),IF(B208&lt;&gt;"",1,""))</f>
        <v/>
      </c>
      <c r="D208" s="45" t="n"/>
      <c r="E208" s="45" t="n"/>
      <c r="F208" s="21" t="n"/>
      <c r="G208" s="25" t="n"/>
      <c r="H208" s="21" t="n"/>
      <c r="I208" s="45" t="n"/>
    </row>
    <row r="209" ht="20" customHeight="1">
      <c r="A209" s="26" t="n">
        <v>205</v>
      </c>
      <c r="B209" s="21" t="n"/>
      <c r="C209" s="21" t="str">
        <f>IF(ISNUMBER(B209),MONTH(B209),IF(B209&lt;&gt;"",1,""))</f>
        <v/>
      </c>
      <c r="D209" s="45" t="n"/>
      <c r="E209" s="45" t="n"/>
      <c r="F209" s="21" t="n"/>
      <c r="G209" s="25" t="n"/>
      <c r="H209" s="21" t="n"/>
      <c r="I209" s="45" t="n"/>
    </row>
    <row r="210" ht="26" customHeight="1">
      <c r="A210" s="47" t="inlineStr">
        <is>
          <t>GESAMTSUMMEN</t>
        </is>
      </c>
      <c r="B210" s="47" t="inlineStr">
        <is>
          <t>Auswertungszeile Buchungsjournal</t>
        </is>
      </c>
      <c r="C210" s="47" t="n"/>
      <c r="D210" s="47" t="n"/>
      <c r="E210" s="47" t="n"/>
      <c r="F210" s="47" t="n"/>
      <c r="G210" s="30">
        <f>SUM(G5:G209)</f>
        <v>44902.8</v>
      </c>
      <c r="H210" s="47" t="n"/>
      <c r="I210" s="47" t="n"/>
    </row>
  </sheetData>
  <mergeCells count="2">
    <mergeCell ref="A1:I1"/>
    <mergeCell ref="A2:I2"/>
  </mergeCells>
  <pageMargins left="0.75" right="0.75" top="1" bottom="1" header="0.5" footer="0.5"/>
  <pageSetup orientation="landscape" paperSize="9"/>
</worksheet>
</file>

<file path=xl/worksheets/sheet6.xml><?xml version="1.0" encoding="utf-8"?>
<worksheet xmlns="http://schemas.openxmlformats.org/spreadsheetml/2006/main">
  <sheetPr>
    <tabColor rgb="0064748B"/>
    <outlinePr summaryBelow="1" summaryRight="1"/>
    <pageSetUpPr/>
  </sheetPr>
  <dimension ref="A1:G34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25" customWidth="1" min="7" max="7"/>
  </cols>
  <sheetData>
    <row r="1" ht="40" customHeight="1">
      <c r="A1" s="1" t="inlineStr">
        <is>
          <t>Bedienungsanleitung &amp; Fachleitfaden: Haushaltsbuch 2026</t>
        </is>
      </c>
    </row>
    <row r="2" ht="24" customHeight="1">
      <c r="A2" s="2" t="inlineStr">
        <is>
          <t>Leitfaden zur optimalen Führung des Haushaltsbuchs nach den Vorgaben der Verbraucherzentrale &amp; Destatis</t>
        </is>
      </c>
    </row>
    <row r="3" ht="12" customHeight="1"/>
    <row r="4" ht="24" customHeight="1">
      <c r="A4" s="3" t="inlineStr">
        <is>
          <t>1. ÜBERSICHT DER TABELLENBLÄTTER &amp; ARCHITEKTUR</t>
        </is>
      </c>
    </row>
    <row r="5" ht="24" customHeight="1">
      <c r="A5" s="77" t="inlineStr">
        <is>
          <t>Bereich / Thema</t>
        </is>
      </c>
      <c r="B5" s="77" t="inlineStr">
        <is>
          <t>Beschreibung, Funktion &amp; Praxishinweise</t>
        </is>
      </c>
      <c r="C5" s="79" t="n"/>
      <c r="D5" s="79" t="n"/>
      <c r="E5" s="79" t="n"/>
      <c r="F5" s="79" t="n"/>
      <c r="G5" s="80" t="n"/>
    </row>
    <row r="6" ht="50" customHeight="1">
      <c r="A6" s="53" t="inlineStr">
        <is>
          <t>Dashboard</t>
        </is>
      </c>
      <c r="B6" s="78" t="inlineStr">
        <is>
          <t>Zentrales Führungs-Cockpit mit visuellen KPI-Karten, Monatsverlauf 2026, Schnell-Check Budgetrechner und Statusbewertungen.</t>
        </is>
      </c>
      <c r="C6" s="71" t="n"/>
      <c r="D6" s="71" t="n"/>
      <c r="E6" s="71" t="n"/>
      <c r="F6" s="71" t="n"/>
      <c r="G6" s="72" t="n"/>
    </row>
    <row r="7" ht="50" customHeight="1">
      <c r="A7" s="53" t="inlineStr">
        <is>
          <t>Jahresübersicht</t>
        </is>
      </c>
      <c r="B7" s="78" t="inlineStr">
        <is>
          <t>Konsolidierte Jahresmatrix über alle 12 Monate für Einnahmen, Fixkosten, variable Ausgaben, Monats-Saldo, Sparquote und Notgroschen-Aufbau.</t>
        </is>
      </c>
      <c r="C7" s="71" t="n"/>
      <c r="D7" s="71" t="n"/>
      <c r="E7" s="71" t="n"/>
      <c r="F7" s="71" t="n"/>
      <c r="G7" s="72" t="n"/>
    </row>
    <row r="8" ht="50" customHeight="1">
      <c r="A8" s="53" t="inlineStr">
        <is>
          <t>Budget_50_30_20</t>
        </is>
      </c>
      <c r="B8" s="78" t="inlineStr">
        <is>
          <t>Strukturierte Budgetplanung nach der 50-30-20-Regel: Grundbedarf (50%), Wünsche (30%) und Sparen &amp; Tilgen (20%) inkl. Soll-Ist-Vergleich.</t>
        </is>
      </c>
      <c r="C8" s="71" t="n"/>
      <c r="D8" s="71" t="n"/>
      <c r="E8" s="71" t="n"/>
      <c r="F8" s="71" t="n"/>
      <c r="G8" s="72" t="n"/>
    </row>
    <row r="9" ht="50" customHeight="1">
      <c r="A9" s="53" t="inlineStr">
        <is>
          <t>Fixkosten</t>
        </is>
      </c>
      <c r="B9" s="78" t="inlineStr">
        <is>
          <t>Detaillierte Erfassung aller Verträge, Mieten, Abonnements und Versicherungen mit automatischer monatlicher Umlageberechnung (Betrag / Intervall).</t>
        </is>
      </c>
      <c r="C9" s="71" t="n"/>
      <c r="D9" s="71" t="n"/>
      <c r="E9" s="71" t="n"/>
      <c r="F9" s="71" t="n"/>
      <c r="G9" s="72" t="n"/>
    </row>
    <row r="10" ht="50" customHeight="1">
      <c r="A10" s="53" t="inlineStr">
        <is>
          <t>Buchungsjournal</t>
        </is>
      </c>
      <c r="B10" s="78" t="inlineStr">
        <is>
          <t>Laufende Erfassung aller flexiblen Einnahmen und täglichen Ausgaben mit automatischer Monatszuordnung und Kategorisierung.</t>
        </is>
      </c>
      <c r="C10" s="71" t="n"/>
      <c r="D10" s="71" t="n"/>
      <c r="E10" s="71" t="n"/>
      <c r="F10" s="71" t="n"/>
      <c r="G10" s="72" t="n"/>
    </row>
    <row r="11" ht="36" customHeight="1">
      <c r="A11" s="53" t="inlineStr">
        <is>
          <t>Anleitung</t>
        </is>
      </c>
      <c r="B11" s="78" t="inlineStr">
        <is>
          <t>Dieser Leitfaden: Erklärungen, Formeln, Destatis-Benchmarks und Schritt-für-Schritt-Anleitung für den Alltag.</t>
        </is>
      </c>
      <c r="C11" s="71" t="n"/>
      <c r="D11" s="71" t="n"/>
      <c r="E11" s="71" t="n"/>
      <c r="F11" s="71" t="n"/>
      <c r="G11" s="72" t="n"/>
    </row>
    <row r="12"/>
    <row r="13" ht="24" customHeight="1">
      <c r="A13" s="3" t="inlineStr">
        <is>
          <t>2. SCHRITT-FÜR-SCHRITT-ANLEITUNG FÜR DEN ERFOLGREICHEN START</t>
        </is>
      </c>
    </row>
    <row r="14" ht="24" customHeight="1">
      <c r="A14" s="77" t="inlineStr">
        <is>
          <t>Bereich / Thema</t>
        </is>
      </c>
      <c r="B14" s="77" t="inlineStr">
        <is>
          <t>Beschreibung, Funktion &amp; Praxishinweise</t>
        </is>
      </c>
      <c r="C14" s="79" t="n"/>
      <c r="D14" s="79" t="n"/>
      <c r="E14" s="79" t="n"/>
      <c r="F14" s="79" t="n"/>
      <c r="G14" s="80" t="n"/>
    </row>
    <row r="15" ht="50" customHeight="1">
      <c r="A15" s="53" t="inlineStr">
        <is>
          <t>Schritt 1: Fixkosten erfassen</t>
        </is>
      </c>
      <c r="B15" s="78" t="inlineStr">
        <is>
          <t>Öffnen Sie das Blatt 'Fixkosten'. Tragen Sie Ihre monatlichen, quartalsweisen und jährlichen Zahlungen ein. Jährliche Beiträge (z. B. KFZ-Versicherung) werden mit Teiler 12 automatisch umgelegt.</t>
        </is>
      </c>
      <c r="C15" s="71" t="n"/>
      <c r="D15" s="71" t="n"/>
      <c r="E15" s="71" t="n"/>
      <c r="F15" s="71" t="n"/>
      <c r="G15" s="72" t="n"/>
    </row>
    <row r="16" ht="50" customHeight="1">
      <c r="A16" s="53" t="inlineStr">
        <is>
          <t>Schritt 2: Budget festlegen</t>
        </is>
      </c>
      <c r="B16" s="78" t="inlineStr">
        <is>
          <t>Tragen Sie auf 'Budget_50_30_20' in Zelle B5 Ihr monatliches Nettoeinkommen ein. Die Soll-Budgets für Grundbedarf, Wünsche und Sparen werden automatisch berechnet.</t>
        </is>
      </c>
      <c r="C16" s="71" t="n"/>
      <c r="D16" s="71" t="n"/>
      <c r="E16" s="71" t="n"/>
      <c r="F16" s="71" t="n"/>
      <c r="G16" s="72" t="n"/>
    </row>
    <row r="17" ht="50" customHeight="1">
      <c r="A17" s="53" t="inlineStr">
        <is>
          <t>Schritt 3: Laufendes Tracking</t>
        </is>
      </c>
      <c r="B17" s="78" t="inlineStr">
        <is>
          <t>Tragen Sie im 'Buchungsjournal' Ihre flexiblen Einkäufe (Supermarkt, Tanken, Restaurant, Shopping) alle 2-3 Tage ein. Sammeln Sie hierfür Belege oder nutzen Sie Online-Banking.</t>
        </is>
      </c>
      <c r="C17" s="71" t="n"/>
      <c r="D17" s="71" t="n"/>
      <c r="E17" s="71" t="n"/>
      <c r="F17" s="71" t="n"/>
      <c r="G17" s="72" t="n"/>
    </row>
    <row r="18" ht="50" customHeight="1">
      <c r="A18" s="53" t="inlineStr">
        <is>
          <t>Schritt 4: Monatsabschluss &amp; Kontrolle</t>
        </is>
      </c>
      <c r="B18" s="78" t="inlineStr">
        <is>
          <t>Prüfen Sie am Monatsende das 'Dashboard' und die 'Jahresübersicht'. Vergleichen Sie Ihre Ist-Sparquote mit dem Zielkorridor von 15-20%.</t>
        </is>
      </c>
      <c r="C18" s="71" t="n"/>
      <c r="D18" s="71" t="n"/>
      <c r="E18" s="71" t="n"/>
      <c r="F18" s="71" t="n"/>
      <c r="G18" s="72" t="n"/>
    </row>
    <row r="19" ht="50" customHeight="1">
      <c r="A19" s="53" t="inlineStr">
        <is>
          <t>Schritt 5: Optimierung &amp; Einsparung</t>
        </is>
      </c>
      <c r="B19" s="78" t="inlineStr">
        <is>
          <t>Entlarven Sie im 'Buchungsjournal' und bei den 'Fixkosten' ungenutzte Abos oder überhöhte Konsumausgaben und passen Sie Ihre Daueraufträge an.</t>
        </is>
      </c>
      <c r="C19" s="71" t="n"/>
      <c r="D19" s="71" t="n"/>
      <c r="E19" s="71" t="n"/>
      <c r="F19" s="71" t="n"/>
      <c r="G19" s="72" t="n"/>
    </row>
    <row r="20"/>
    <row r="21" ht="24" customHeight="1">
      <c r="A21" s="3" t="inlineStr">
        <is>
          <t>3. MATHEMATISCHE METHODIK &amp; KENNZAHLEN-FORMELN</t>
        </is>
      </c>
    </row>
    <row r="22" ht="24" customHeight="1">
      <c r="A22" s="77" t="inlineStr">
        <is>
          <t>Bereich / Thema</t>
        </is>
      </c>
      <c r="B22" s="77" t="inlineStr">
        <is>
          <t>Beschreibung, Funktion &amp; Praxishinweise</t>
        </is>
      </c>
      <c r="C22" s="79" t="n"/>
      <c r="D22" s="79" t="n"/>
      <c r="E22" s="79" t="n"/>
      <c r="F22" s="79" t="n"/>
      <c r="G22" s="80" t="n"/>
    </row>
    <row r="23" ht="50" customHeight="1">
      <c r="A23" s="53" t="inlineStr">
        <is>
          <t>Sparquote (%)</t>
        </is>
      </c>
      <c r="B23" s="78" t="inlineStr">
        <is>
          <t>Formel: (Freies Budget / Nettoeinkommen) * 100. Gibt den prozentualen Anteil des Einkommens an, der für Rücklagen und Vermögensaufbau gespart wird.</t>
        </is>
      </c>
      <c r="C23" s="71" t="n"/>
      <c r="D23" s="71" t="n"/>
      <c r="E23" s="71" t="n"/>
      <c r="F23" s="71" t="n"/>
      <c r="G23" s="72" t="n"/>
    </row>
    <row r="24" ht="36" customHeight="1">
      <c r="A24" s="53" t="inlineStr">
        <is>
          <t>Freies Budget / Saldo (€)</t>
        </is>
      </c>
      <c r="B24" s="78" t="inlineStr">
        <is>
          <t>Formel: Nettoeinkommen - Fixkosten - Variable Ausgaben. Zeigt den monatlichen Liquiditätsüberschuss an.</t>
        </is>
      </c>
      <c r="C24" s="71" t="n"/>
      <c r="D24" s="71" t="n"/>
      <c r="E24" s="71" t="n"/>
      <c r="F24" s="71" t="n"/>
      <c r="G24" s="72" t="n"/>
    </row>
    <row r="25" ht="36" customHeight="1">
      <c r="A25" s="53" t="inlineStr">
        <is>
          <t>Monatliche Fixkosten-Umlage (€)</t>
        </is>
      </c>
      <c r="B25" s="78" t="inlineStr">
        <is>
          <t>Formel: Zahlbetrag / Zahlungsintervall in Monaten (z. B. Jährliche Versicherung / 12, Quartalsbeitrag / 3).</t>
        </is>
      </c>
      <c r="C25" s="71" t="n"/>
      <c r="D25" s="71" t="n"/>
      <c r="E25" s="71" t="n"/>
      <c r="F25" s="71" t="n"/>
      <c r="G25" s="72" t="n"/>
    </row>
    <row r="26" ht="50" customHeight="1">
      <c r="A26" s="53" t="inlineStr">
        <is>
          <t>Destatis-Benchmark</t>
        </is>
      </c>
      <c r="B26" s="78" t="inlineStr">
        <is>
          <t>Die durchschnittliche Sparquote in Deutschland liegt lt. Statistischem Bundesamt bei ca. 10-11%. Ein gesunder Vermögensaufbau erfordert 15-20%.</t>
        </is>
      </c>
      <c r="C26" s="71" t="n"/>
      <c r="D26" s="71" t="n"/>
      <c r="E26" s="71" t="n"/>
      <c r="F26" s="71" t="n"/>
      <c r="G26" s="72" t="n"/>
    </row>
    <row r="27"/>
    <row r="28" ht="24" customHeight="1">
      <c r="A28" s="3" t="inlineStr">
        <is>
          <t>4. PRAXIS-TIPPS ZUR VERMEIDUNG VON SCHULDEN &amp; KOSTENFALLEN</t>
        </is>
      </c>
    </row>
    <row r="29" ht="24" customHeight="1">
      <c r="A29" s="77" t="inlineStr">
        <is>
          <t>Bereich / Thema</t>
        </is>
      </c>
      <c r="B29" s="77" t="inlineStr">
        <is>
          <t>Beschreibung, Funktion &amp; Praxishinweise</t>
        </is>
      </c>
      <c r="C29" s="79" t="n"/>
      <c r="D29" s="79" t="n"/>
      <c r="E29" s="79" t="n"/>
      <c r="F29" s="79" t="n"/>
      <c r="G29" s="80" t="n"/>
    </row>
    <row r="30" ht="50" customHeight="1">
      <c r="A30" s="53" t="inlineStr">
        <is>
          <t>Jahreszahlungen glätten</t>
        </is>
      </c>
      <c r="B30" s="78" t="inlineStr">
        <is>
          <t>Legen Sie für jährliche Rechnungen (z. B. KFZ-Versicherung, GEZ) monatlich den errechneten Umlagebetrag auf ein separates Unterkonto / Tagesgeldkonto.</t>
        </is>
      </c>
      <c r="C30" s="71" t="n"/>
      <c r="D30" s="71" t="n"/>
      <c r="E30" s="71" t="n"/>
      <c r="F30" s="71" t="n"/>
      <c r="G30" s="72" t="n"/>
    </row>
    <row r="31" ht="50" customHeight="1">
      <c r="A31" s="53" t="inlineStr">
        <is>
          <t>Notgroschen-Aufbau</t>
        </is>
      </c>
      <c r="B31" s="78" t="inlineStr">
        <is>
          <t>Bauen Sie vor risikoreicheren Investments zuerst einen Notgroschen von 3 bis 6 Monatsausgaben auf einem hochverzinsten Tagesgeldkonto auf.</t>
        </is>
      </c>
      <c r="C31" s="71" t="n"/>
      <c r="D31" s="71" t="n"/>
      <c r="E31" s="71" t="n"/>
      <c r="F31" s="71" t="n"/>
      <c r="G31" s="72" t="n"/>
    </row>
    <row r="32" ht="50" customHeight="1">
      <c r="A32" s="53" t="inlineStr">
        <is>
          <t>Regelmäßiger Abo-Check</t>
        </is>
      </c>
      <c r="B32" s="78" t="inlineStr">
        <is>
          <t>Überprüfen Sie mindestens einmal pro Halbjahr im Blatt 'Fixkosten' alle aktiven Streaming-, Fitness- und Software-Abos auf echten Nutzwert.</t>
        </is>
      </c>
      <c r="C32" s="71" t="n"/>
      <c r="D32" s="71" t="n"/>
      <c r="E32" s="71" t="n"/>
      <c r="F32" s="71" t="n"/>
      <c r="G32" s="72" t="n"/>
    </row>
    <row r="33"/>
    <row r="34"/>
  </sheetData>
  <mergeCells count="28">
    <mergeCell ref="B14:G14"/>
    <mergeCell ref="B17:G17"/>
    <mergeCell ref="B23:G23"/>
    <mergeCell ref="A4:G4"/>
    <mergeCell ref="B8:G8"/>
    <mergeCell ref="B29:G29"/>
    <mergeCell ref="A28:G28"/>
    <mergeCell ref="A13:G13"/>
    <mergeCell ref="B19:G19"/>
    <mergeCell ref="B10:G10"/>
    <mergeCell ref="B9:G9"/>
    <mergeCell ref="B30:G30"/>
    <mergeCell ref="B15:G15"/>
    <mergeCell ref="B6:G6"/>
    <mergeCell ref="B24:G24"/>
    <mergeCell ref="A1:G1"/>
    <mergeCell ref="B5:G5"/>
    <mergeCell ref="B32:G32"/>
    <mergeCell ref="B26:G26"/>
    <mergeCell ref="B7:G7"/>
    <mergeCell ref="B25:G25"/>
    <mergeCell ref="B16:G16"/>
    <mergeCell ref="B22:G22"/>
    <mergeCell ref="A21:G21"/>
    <mergeCell ref="B31:G31"/>
    <mergeCell ref="A2:G2"/>
    <mergeCell ref="B18:G18"/>
    <mergeCell ref="B11:G11"/>
  </mergeCells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2026-09-29T07:55:00Z</dcterms:created>
  <dcterms:modified xmlns:dcterms="http://purl.org/dc/terms/" xmlns:xsi="http://www.w3.org/2001/XMLSchema-instance" xsi:type="dcterms:W3CDTF">2026-09-29T08:00:35Z</dcterms:modified>
</cp:coreProperties>
</file>