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umerfassung" sheetId="1" state="visible" r:id="rId1"/>
    <sheet xmlns:r="http://schemas.openxmlformats.org/officeDocument/2006/relationships" name="Flächenübersicht" sheetId="2" state="visible" r:id="rId2"/>
    <sheet xmlns:r="http://schemas.openxmlformats.org/officeDocument/2006/relationships" name="Rechner" sheetId="3" state="visible" r:id="rId3"/>
    <sheet xmlns:r="http://schemas.openxmlformats.org/officeDocument/2006/relationships" name="Vergleich WoFlV" sheetId="4" state="visible" r:id="rId4"/>
    <sheet xmlns:r="http://schemas.openxmlformats.org/officeDocument/2006/relationships" name="Normwissen" sheetId="5" state="visible" r:id="rId5"/>
    <sheet xmlns:r="http://schemas.openxmlformats.org/officeDocument/2006/relationships" name="Anleitung" sheetId="6" state="visible" r:id="rId6"/>
    <sheet xmlns:r="http://schemas.openxmlformats.org/officeDocument/2006/relationships" name="Listen" sheetId="7" state="hidden" r:id="rId7"/>
  </sheets>
  <definedNames>
    <definedName name="_xlnm.Print_Titles" localSheetId="0">'Raumerfassung'!$7:$7</definedName>
    <definedName name="_xlnm.Print_Area" localSheetId="0">'Raumerfassung'!$A$1:$P$70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.00&quot; m²&quot;;-#,##0.00&quot; m²&quot;;&quot;-&quot;"/>
    <numFmt numFmtId="165" formatCode="0%;-0%;&quot;-&quot;"/>
    <numFmt numFmtId="166" formatCode="#,##0.00;-#,##0.00;&quot;-&quot;"/>
    <numFmt numFmtId="167" formatCode="#,##0.00&quot; m³&quot;;-#,##0.00&quot; m³&quot;;&quot;-&quot;"/>
    <numFmt numFmtId="168" formatCode="0.0%;-0.0%;&quot;-&quot;"/>
    <numFmt numFmtId="169" formatCode="0.0%"/>
    <numFmt numFmtId="170" formatCode="DD.MM.YYYY"/>
    <numFmt numFmtId="171" formatCode="#,##0.0&quot; m²&quot;;-#,##0.0&quot; m²&quot;;&quot;-&quot;"/>
    <numFmt numFmtId="172" formatCode="0;-0;&quot;-&quot;"/>
  </numFmts>
  <fonts count="18">
    <font>
      <name val="Calibri"/>
      <family val="2"/>
      <color theme="1"/>
      <sz val="11"/>
      <scheme val="minor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FFFFFF"/>
      <sz val="20"/>
    </font>
    <font>
      <name val="Calibri"/>
      <i val="1"/>
      <color rgb="00334155"/>
      <sz val="11"/>
    </font>
    <font>
      <name val="Calibri"/>
      <b val="1"/>
      <color rgb="00073763"/>
      <sz val="13"/>
    </font>
    <font>
      <name val="Calibri"/>
      <b val="1"/>
      <color rgb="00FFFFFF"/>
      <sz val="11"/>
    </font>
    <font>
      <name val="Calibri"/>
      <color rgb="001D4ED8"/>
      <sz val="11"/>
    </font>
    <font>
      <name val="Calibri"/>
      <color rgb="00334155"/>
      <sz val="10"/>
    </font>
    <font>
      <name val="Calibri"/>
      <i val="1"/>
      <color rgb="0064748B"/>
      <sz val="10"/>
    </font>
    <font>
      <name val="Calibri"/>
      <color rgb="0078350F"/>
      <sz val="11"/>
    </font>
    <font>
      <name val="Calibri"/>
      <b val="1"/>
      <color rgb="00166534"/>
      <sz val="14"/>
    </font>
    <font>
      <name val="Calibri"/>
      <color rgb="0064748B"/>
      <sz val="11"/>
    </font>
    <font>
      <name val="Calibri"/>
      <b val="1"/>
      <color rgb="00FFFFFF"/>
      <sz val="22"/>
    </font>
    <font>
      <name val="Calibri"/>
      <i val="1"/>
      <color rgb="00FFFFFF"/>
      <sz val="10"/>
    </font>
    <font>
      <name val="Calibri"/>
      <color rgb="001E3A8A"/>
      <sz val="11"/>
    </font>
    <font>
      <name val="Consolas"/>
      <color rgb="001E3A8A"/>
      <sz val="11"/>
    </font>
    <font>
      <name val="Calibri"/>
      <b val="1"/>
      <color rgb="001D4ED8"/>
      <sz val="11"/>
    </font>
  </fonts>
  <fills count="14">
    <fill>
      <patternFill/>
    </fill>
    <fill>
      <patternFill patternType="gray125"/>
    </fill>
    <fill>
      <patternFill patternType="solid">
        <fgColor rgb="00073763"/>
        <bgColor rgb="00073763"/>
      </patternFill>
    </fill>
    <fill>
      <patternFill patternType="solid">
        <fgColor rgb="00F1F5F9"/>
        <bgColor rgb="00F1F5F9"/>
      </patternFill>
    </fill>
    <fill>
      <patternFill patternType="solid">
        <fgColor rgb="00DBEAFE"/>
        <bgColor rgb="00DBEAFE"/>
      </patternFill>
    </fill>
    <fill>
      <patternFill patternType="solid">
        <fgColor rgb="00EAF2FB"/>
        <bgColor rgb="00EAF2FB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1E3A8A"/>
        <bgColor rgb="001E3A8A"/>
      </patternFill>
    </fill>
    <fill>
      <patternFill patternType="solid">
        <fgColor rgb="000369A1"/>
        <bgColor rgb="000369A1"/>
      </patternFill>
    </fill>
    <fill>
      <patternFill patternType="solid">
        <fgColor rgb="00047857"/>
        <bgColor rgb="00047857"/>
      </patternFill>
    </fill>
    <fill>
      <patternFill patternType="solid">
        <fgColor rgb="00B45309"/>
        <bgColor rgb="00B45309"/>
      </patternFill>
    </fill>
    <fill>
      <patternFill patternType="solid">
        <fgColor rgb="006D28D9"/>
        <bgColor rgb="006D28D9"/>
      </patternFill>
    </fill>
    <fill>
      <patternFill patternType="solid">
        <fgColor rgb="00BE123C"/>
        <bgColor rgb="00BE123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/>
    </xf>
    <xf numFmtId="0" fontId="1" fillId="0" borderId="1" applyAlignment="1" pivotButton="0" quotePrefix="0" xfId="0">
      <alignment vertical="center"/>
    </xf>
    <xf numFmtId="2" fontId="7" fillId="5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7" fillId="5" borderId="1" applyAlignment="1" pivotButton="0" quotePrefix="0" xfId="0">
      <alignment horizontal="center" vertical="center"/>
    </xf>
    <xf numFmtId="9" fontId="7" fillId="5" borderId="1" applyAlignment="1" pivotButton="0" quotePrefix="0" xfId="0">
      <alignment horizontal="center" vertical="center"/>
    </xf>
    <xf numFmtId="0" fontId="1" fillId="3" borderId="1" applyAlignment="1" pivotButton="0" quotePrefix="0" xfId="0">
      <alignment vertical="center"/>
    </xf>
    <xf numFmtId="164" fontId="1" fillId="0" borderId="1" applyAlignment="1" pivotButton="0" quotePrefix="0" xfId="0">
      <alignment horizontal="center" vertical="center"/>
    </xf>
    <xf numFmtId="9" fontId="1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vertical="center"/>
    </xf>
    <xf numFmtId="164" fontId="11" fillId="7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4" pivotButton="0" quotePrefix="0" xfId="0"/>
    <xf numFmtId="0" fontId="6" fillId="2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/>
    </xf>
    <xf numFmtId="165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164" fontId="2" fillId="0" borderId="1" applyAlignment="1" pivotButton="0" quotePrefix="0" xfId="0">
      <alignment horizontal="center" vertical="center"/>
    </xf>
    <xf numFmtId="166" fontId="1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vertical="center" wrapText="1"/>
    </xf>
    <xf numFmtId="0" fontId="1" fillId="0" borderId="0" applyAlignment="1" pivotButton="0" quotePrefix="0" xfId="0">
      <alignment horizontal="right" vertical="center"/>
    </xf>
    <xf numFmtId="0" fontId="1" fillId="7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8" fontId="1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1" fillId="3" borderId="1" applyAlignment="1" pivotButton="0" quotePrefix="0" xfId="0">
      <alignment vertical="center"/>
    </xf>
    <xf numFmtId="0" fontId="7" fillId="5" borderId="1" applyAlignment="1" pivotButton="0" quotePrefix="0" xfId="0">
      <alignment vertical="center"/>
    </xf>
    <xf numFmtId="164" fontId="1" fillId="0" borderId="1" applyAlignment="1" pivotButton="0" quotePrefix="0" xfId="0">
      <alignment horizontal="right" vertical="center"/>
    </xf>
    <xf numFmtId="169" fontId="7" fillId="5" borderId="1" applyAlignment="1" pivotButton="0" quotePrefix="0" xfId="0">
      <alignment horizontal="left" vertical="center"/>
    </xf>
    <xf numFmtId="170" fontId="7" fillId="5" borderId="1" applyAlignment="1" pivotButton="0" quotePrefix="0" xfId="0">
      <alignment horizontal="left" vertical="center"/>
    </xf>
    <xf numFmtId="1" fontId="2" fillId="0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2" fontId="7" fillId="5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9" fontId="2" fillId="0" borderId="1" applyAlignment="1" pivotButton="0" quotePrefix="0" xfId="0">
      <alignment horizontal="center" vertical="center"/>
    </xf>
    <xf numFmtId="168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168" fontId="1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164" fontId="1" fillId="0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center" vertical="center"/>
    </xf>
    <xf numFmtId="165" fontId="1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166" fontId="1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168" fontId="1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9" fontId="7" fillId="5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6" fillId="8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/>
    </xf>
    <xf numFmtId="0" fontId="0" fillId="9" borderId="0" pivotButton="0" quotePrefix="0" xfId="0"/>
    <xf numFmtId="0" fontId="6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6" fillId="11" borderId="0" applyAlignment="1" pivotButton="0" quotePrefix="0" xfId="0">
      <alignment horizontal="center" vertical="center"/>
    </xf>
    <xf numFmtId="0" fontId="0" fillId="11" borderId="0" pivotButton="0" quotePrefix="0" xfId="0"/>
    <xf numFmtId="0" fontId="6" fillId="12" borderId="0" applyAlignment="1" pivotButton="0" quotePrefix="0" xfId="0">
      <alignment horizontal="center" vertical="center"/>
    </xf>
    <xf numFmtId="0" fontId="0" fillId="12" borderId="0" pivotButton="0" quotePrefix="0" xfId="0"/>
    <xf numFmtId="0" fontId="6" fillId="13" borderId="0" applyAlignment="1" pivotButton="0" quotePrefix="0" xfId="0">
      <alignment horizontal="center" vertical="center"/>
    </xf>
    <xf numFmtId="0" fontId="0" fillId="13" borderId="0" pivotButton="0" quotePrefix="0" xfId="0"/>
    <xf numFmtId="171" fontId="13" fillId="8" borderId="0" applyAlignment="1" pivotButton="0" quotePrefix="0" xfId="0">
      <alignment horizontal="center" vertical="center"/>
    </xf>
    <xf numFmtId="171" fontId="13" fillId="9" borderId="0" applyAlignment="1" pivotButton="0" quotePrefix="0" xfId="0">
      <alignment horizontal="center" vertical="center"/>
    </xf>
    <xf numFmtId="171" fontId="13" fillId="10" borderId="0" applyAlignment="1" pivotButton="0" quotePrefix="0" xfId="0">
      <alignment horizontal="center" vertical="center"/>
    </xf>
    <xf numFmtId="171" fontId="13" fillId="11" borderId="0" applyAlignment="1" pivotButton="0" quotePrefix="0" xfId="0">
      <alignment horizontal="center" vertical="center"/>
    </xf>
    <xf numFmtId="171" fontId="13" fillId="12" borderId="0" applyAlignment="1" pivotButton="0" quotePrefix="0" xfId="0">
      <alignment horizontal="center" vertical="center"/>
    </xf>
    <xf numFmtId="171" fontId="13" fillId="13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4" fillId="12" borderId="0" applyAlignment="1" pivotButton="0" quotePrefix="0" xfId="0">
      <alignment horizontal="center" vertical="center"/>
    </xf>
    <xf numFmtId="0" fontId="14" fillId="1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/>
    </xf>
    <xf numFmtId="0" fontId="1" fillId="0" borderId="1" applyAlignment="1" pivotButton="0" quotePrefix="0" xfId="0">
      <alignment vertical="center"/>
    </xf>
    <xf numFmtId="166" fontId="2" fillId="0" borderId="1" applyAlignment="1" pivotButton="0" quotePrefix="0" xfId="0">
      <alignment horizontal="center" vertical="center"/>
    </xf>
    <xf numFmtId="168" fontId="2" fillId="0" borderId="1" applyAlignment="1" pivotButton="0" quotePrefix="0" xfId="0">
      <alignment horizontal="center" vertical="center"/>
    </xf>
    <xf numFmtId="0" fontId="1" fillId="3" borderId="1" applyAlignment="1" pivotButton="0" quotePrefix="0" xfId="0">
      <alignment vertical="center"/>
    </xf>
    <xf numFmtId="166" fontId="1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vertical="center" wrapText="1"/>
    </xf>
    <xf numFmtId="0" fontId="1" fillId="7" borderId="1" applyAlignment="1" pivotButton="0" quotePrefix="0" xfId="0">
      <alignment vertical="center"/>
    </xf>
    <xf numFmtId="166" fontId="1" fillId="7" borderId="1" applyAlignment="1" pivotButton="0" quotePrefix="0" xfId="0">
      <alignment horizontal="center" vertical="center"/>
    </xf>
    <xf numFmtId="168" fontId="2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vertical="center" wrapText="1"/>
    </xf>
    <xf numFmtId="169" fontId="7" fillId="5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166" fontId="7" fillId="5" borderId="1" applyAlignment="1" pivotButton="0" quotePrefix="0" xfId="0">
      <alignment horizontal="center" vertical="center"/>
    </xf>
    <xf numFmtId="172" fontId="2" fillId="0" borderId="1" applyAlignment="1" pivotButton="0" quotePrefix="0" xfId="0">
      <alignment horizontal="center" vertical="center"/>
    </xf>
    <xf numFmtId="172" fontId="1" fillId="3" borderId="1" applyAlignment="1" pivotButton="0" quotePrefix="0" xfId="0">
      <alignment horizontal="center" vertical="center"/>
    </xf>
    <xf numFmtId="168" fontId="1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66" fontId="1" fillId="0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left" vertical="center"/>
    </xf>
    <xf numFmtId="0" fontId="2" fillId="0" borderId="1" applyAlignment="1" pivotButton="0" quotePrefix="0" xfId="0">
      <alignment vertical="center" wrapText="1"/>
    </xf>
    <xf numFmtId="0" fontId="16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/>
    </xf>
    <xf numFmtId="0" fontId="1" fillId="3" borderId="1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7" fillId="5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</cellXfs>
  <cellStyles count="1">
    <cellStyle name="Normal" xfId="0" builtinId="0" hidden="0"/>
  </cellStyles>
  <dxfs count="4">
    <dxf>
      <fill>
        <patternFill patternType="solid">
          <fgColor rgb="00FECACA"/>
          <bgColor rgb="00FECACA"/>
        </patternFill>
      </fill>
    </dxf>
    <dxf>
      <font>
        <name val="Calibri"/>
        <b val="1"/>
        <color rgb="00166534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</font>
      <fill>
        <patternFill patternType="solid">
          <fgColor rgb="00FECACA"/>
          <bgColor rgb="00FECACA"/>
        </patternFill>
      </fill>
    </dxf>
    <dxf>
      <font>
        <name val="Calibri"/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Fläche nach Nutzungsart (DIN 277)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'Flächenübersicht'!$A$21:$A$29</f>
            </numRef>
          </cat>
          <val>
            <numRef>
              <f>'Flächenübersicht'!$C$21:$C$29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Fläche je Bereich: DIN 277 vs. WoFlV (m²)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'Flächenübersicht'!C44</f>
            </strRef>
          </tx>
          <spPr>
            <a:ln xmlns:a="http://schemas.openxmlformats.org/drawingml/2006/main">
              <a:prstDash val="solid"/>
            </a:ln>
          </spPr>
          <cat>
            <numRef>
              <f>'Flächenübersicht'!$A$45:$A$49</f>
            </numRef>
          </cat>
          <val>
            <numRef>
              <f>'Flächenübersicht'!$C$45:$C$49</f>
            </numRef>
          </val>
        </ser>
        <ser>
          <idx val="1"/>
          <order val="1"/>
          <tx>
            <strRef>
              <f>'Flächenübersicht'!E44</f>
            </strRef>
          </tx>
          <spPr>
            <a:ln xmlns:a="http://schemas.openxmlformats.org/drawingml/2006/main">
              <a:prstDash val="solid"/>
            </a:ln>
          </spPr>
          <cat>
            <numRef>
              <f>'Flächenübersicht'!$A$45:$A$49</f>
            </numRef>
          </cat>
          <val>
            <numRef>
              <f>'Flächenübersicht'!$E$45:$E$49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7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26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P70"/>
  <sheetViews>
    <sheetView showGridLines="0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26" customWidth="1" min="4" max="4"/>
    <col width="31" customWidth="1" min="5" max="5"/>
    <col width="27" customWidth="1" min="6" max="6"/>
    <col width="10" customWidth="1" min="7" max="7"/>
    <col width="10" customWidth="1" min="8" max="8"/>
    <col width="14" customWidth="1" min="9" max="9"/>
    <col width="11" customWidth="1" min="10" max="10"/>
    <col width="14" customWidth="1" min="11" max="11"/>
    <col width="11" customWidth="1" min="12" max="12"/>
    <col width="14" customWidth="1" min="13" max="13"/>
    <col width="13" customWidth="1" min="14" max="14"/>
    <col width="11" customWidth="1" min="15" max="15"/>
    <col width="16" customWidth="1" min="16" max="16"/>
  </cols>
  <sheetData>
    <row r="1" ht="36" customHeight="1">
      <c r="A1" s="117" t="inlineStr">
        <is>
          <t>Wohnflächenberechnung nach DIN 277 – Raumerfassung</t>
        </is>
      </c>
    </row>
    <row r="2" ht="30" customHeight="1">
      <c r="A2" s="4" t="inlineStr">
        <is>
          <t>Blaue Felder = Eingabe, schwarze Felder = Formeln. Die eingetragenen Räume sind BEISPIELDATEN (Mehrfamilienhaus mit Gewerbe) – überschreiben oder löschen Sie sie für Ihr Objekt.</t>
        </is>
      </c>
    </row>
    <row r="3" ht="22" customHeight="1">
      <c r="A3" s="40" t="inlineStr">
        <is>
          <t>Objekt</t>
        </is>
      </c>
      <c r="B3" s="17" t="n"/>
      <c r="C3" s="42" t="inlineStr">
        <is>
          <t>Mehrfamilienhaus Musterstraße 12 (Beispiel)</t>
        </is>
      </c>
      <c r="D3" s="17" t="n"/>
      <c r="E3" s="122" t="inlineStr">
        <is>
          <t>Norm / Fassung</t>
        </is>
      </c>
      <c r="F3" s="115" t="inlineStr">
        <is>
          <t>DIN 277:2021-08</t>
        </is>
      </c>
      <c r="G3" s="40" t="inlineStr">
        <is>
          <t>Maßbasis</t>
        </is>
      </c>
      <c r="H3" s="17" t="n"/>
      <c r="I3" s="42" t="inlineStr">
        <is>
          <t>Lichte Maße</t>
        </is>
      </c>
      <c r="J3" s="17" t="n"/>
      <c r="K3" s="40" t="inlineStr">
        <is>
          <t>Σ Grundfläche</t>
        </is>
      </c>
      <c r="L3" s="16" t="n"/>
      <c r="M3" s="17" t="n"/>
      <c r="N3" s="46">
        <f>I68</f>
        <v>339.72</v>
      </c>
      <c r="O3" s="17" t="n"/>
    </row>
    <row r="4" ht="22" customHeight="1">
      <c r="A4" s="40" t="inlineStr">
        <is>
          <t>Adresse</t>
        </is>
      </c>
      <c r="B4" s="17" t="n"/>
      <c r="C4" s="42" t="inlineStr">
        <is>
          <t>12345 Musterstadt</t>
        </is>
      </c>
      <c r="D4" s="17" t="n"/>
      <c r="E4" s="122" t="inlineStr">
        <is>
          <t>Plangrundlage</t>
        </is>
      </c>
      <c r="F4" s="115" t="inlineStr">
        <is>
          <t>Grundrisse Stand 01/2026</t>
        </is>
      </c>
      <c r="G4" s="40" t="inlineStr">
        <is>
          <t>Putzabzug (Rohbau)</t>
        </is>
      </c>
      <c r="H4" s="17" t="n"/>
      <c r="I4" s="72" t="n">
        <v>0.03</v>
      </c>
      <c r="J4" s="17" t="n"/>
      <c r="K4" s="40" t="inlineStr">
        <is>
          <t>Σ DIN 277 (Nettoraumfläche)</t>
        </is>
      </c>
      <c r="L4" s="16" t="n"/>
      <c r="M4" s="17" t="n"/>
      <c r="N4" s="46">
        <f>K68</f>
        <v>339.72</v>
      </c>
      <c r="O4" s="17" t="n"/>
    </row>
    <row r="5" ht="22" customHeight="1">
      <c r="A5" s="40" t="inlineStr">
        <is>
          <t>Bearbeiter</t>
        </is>
      </c>
      <c r="B5" s="17" t="n"/>
      <c r="C5" s="42" t="inlineStr">
        <is>
          <t>Max Mustermann</t>
        </is>
      </c>
      <c r="D5" s="17" t="n"/>
      <c r="E5" s="122" t="inlineStr">
        <is>
          <t>Datum</t>
        </is>
      </c>
      <c r="F5" s="48" t="n">
        <v>46036</v>
      </c>
      <c r="G5" s="40" t="inlineStr">
        <is>
          <t>Räume erfasst</t>
        </is>
      </c>
      <c r="H5" s="17" t="n"/>
      <c r="I5" s="49">
        <f>COUNTA(D8:D67)</f>
        <v>32</v>
      </c>
      <c r="J5" s="17" t="n"/>
      <c r="K5" s="40" t="inlineStr">
        <is>
          <t>Σ WoFlV-Fläche</t>
        </is>
      </c>
      <c r="L5" s="16" t="n"/>
      <c r="M5" s="17" t="n"/>
      <c r="N5" s="46">
        <f>M68</f>
        <v>250.36</v>
      </c>
      <c r="O5" s="17" t="n"/>
    </row>
    <row r="6" ht="8" customHeight="1"/>
    <row r="7" ht="44" customHeight="1">
      <c r="A7" s="18" t="inlineStr">
        <is>
          <t>Nr.</t>
        </is>
      </c>
      <c r="B7" s="18" t="inlineStr">
        <is>
          <t>Geschoss</t>
        </is>
      </c>
      <c r="C7" s="18" t="inlineStr">
        <is>
          <t>Bereich / Einheit</t>
        </is>
      </c>
      <c r="D7" s="18" t="inlineStr">
        <is>
          <t>Raum / Bezeichnung</t>
        </is>
      </c>
      <c r="E7" s="18" t="inlineStr">
        <is>
          <t>Nutzungsart (DIN 277)</t>
        </is>
      </c>
      <c r="F7" s="18" t="inlineStr">
        <is>
          <t>Flächenart</t>
        </is>
      </c>
      <c r="G7" s="18" t="inlineStr">
        <is>
          <t>Länge (m)</t>
        </is>
      </c>
      <c r="H7" s="18" t="inlineStr">
        <is>
          <t>Breite (m)</t>
        </is>
      </c>
      <c r="I7" s="18" t="inlineStr">
        <is>
          <t>Grundfläche (m²)</t>
        </is>
      </c>
      <c r="J7" s="18" t="inlineStr">
        <is>
          <t>Faktor DIN 277</t>
        </is>
      </c>
      <c r="K7" s="18" t="inlineStr">
        <is>
          <t>Fläche DIN 277 (m²)</t>
        </is>
      </c>
      <c r="L7" s="18" t="inlineStr">
        <is>
          <t>Faktor WoFlV</t>
        </is>
      </c>
      <c r="M7" s="18" t="inlineStr">
        <is>
          <t>Fläche WoFlV (m²)</t>
        </is>
      </c>
      <c r="N7" s="18" t="inlineStr">
        <is>
          <t>Differenz (m²)</t>
        </is>
      </c>
      <c r="O7" s="18" t="inlineStr">
        <is>
          <t>Anteil an NRF</t>
        </is>
      </c>
      <c r="P7" s="18" t="inlineStr">
        <is>
          <t>Prüfung</t>
        </is>
      </c>
    </row>
    <row r="8" ht="19" customHeight="1">
      <c r="A8" s="50" t="n">
        <v>1</v>
      </c>
      <c r="B8" s="121" t="inlineStr">
        <is>
          <t>1. OG</t>
        </is>
      </c>
      <c r="C8" s="115" t="inlineStr">
        <is>
          <t>Wohnung 1</t>
        </is>
      </c>
      <c r="D8" s="115" t="inlineStr">
        <is>
          <t>Wohnzimmer</t>
        </is>
      </c>
      <c r="E8" s="115" t="inlineStr">
        <is>
          <t>NUF 1 – Wohnen und Aufenthalt</t>
        </is>
      </c>
      <c r="F8" s="115" t="inlineStr">
        <is>
          <t>Wohnfläche</t>
        </is>
      </c>
      <c r="G8" s="52" t="n">
        <v>5.5</v>
      </c>
      <c r="H8" s="52" t="n">
        <v>4.2</v>
      </c>
      <c r="I8" s="99">
        <f>IF(AND(ISNUMBER(G8),ISNUMBER(H8)),G8*H8*IF($I$3="Rohbaumaße",1-$I$4,1),"")</f>
        <v>23.1</v>
      </c>
      <c r="J8" s="54">
        <f>IF(OR(I8="",F8=""),"",IFERROR(VLOOKUP(F8,'Vergleich WoFlV'!$A$6:$C$15,2,FALSE),0))</f>
        <v>1</v>
      </c>
      <c r="K8" s="99">
        <f>IF(J8="","",I8*J8)</f>
        <v>23.1</v>
      </c>
      <c r="L8" s="54">
        <f>IF(OR(I8="",F8=""),"",IFERROR(VLOOKUP(F8,'Vergleich WoFlV'!$A$6:$C$15,3,FALSE),0))</f>
        <v>1</v>
      </c>
      <c r="M8" s="99">
        <f>IF(L8="","",I8*L8)</f>
        <v>23.1</v>
      </c>
      <c r="N8" s="99">
        <f>IF(K8="","",K8-M8)</f>
        <v>0</v>
      </c>
      <c r="O8" s="100">
        <f>IF(OR(K8="",$K$68=0),"",K8/$K$68)</f>
        <v>0.0679971741434122</v>
      </c>
      <c r="P8" s="56" t="str">
        <f>IF(COUNTA(B8:H8)=0,"",IF(OR(B8="",C8="",E8="",F8=""),"Angaben fehlen",IF(N(I8)&lt;=0,"Maße prüfen","OK")))</f>
        <v>OK</v>
      </c>
    </row>
    <row r="9" ht="19" customHeight="1">
      <c r="A9" s="50" t="n">
        <v>2</v>
      </c>
      <c r="B9" s="121" t="inlineStr">
        <is>
          <t>1. OG</t>
        </is>
      </c>
      <c r="C9" s="115" t="inlineStr">
        <is>
          <t>Wohnung 1</t>
        </is>
      </c>
      <c r="D9" s="115" t="inlineStr">
        <is>
          <t>Schlafzimmer</t>
        </is>
      </c>
      <c r="E9" s="115" t="inlineStr">
        <is>
          <t>NUF 1 – Wohnen und Aufenthalt</t>
        </is>
      </c>
      <c r="F9" s="115" t="inlineStr">
        <is>
          <t>Wohnfläche</t>
        </is>
      </c>
      <c r="G9" s="52" t="n">
        <v>4</v>
      </c>
      <c r="H9" s="52" t="n">
        <v>3.5</v>
      </c>
      <c r="I9" s="99">
        <f>IF(AND(ISNUMBER(G9),ISNUMBER(H9)),G9*H9*IF($I$3="Rohbaumaße",1-$I$4,1),"")</f>
        <v>14</v>
      </c>
      <c r="J9" s="54">
        <f>IF(OR(I9="",F9=""),"",IFERROR(VLOOKUP(F9,'Vergleich WoFlV'!$A$6:$C$15,2,FALSE),0))</f>
        <v>1</v>
      </c>
      <c r="K9" s="99">
        <f>IF(J9="","",I9*J9)</f>
        <v>14</v>
      </c>
      <c r="L9" s="54">
        <f>IF(OR(I9="",F9=""),"",IFERROR(VLOOKUP(F9,'Vergleich WoFlV'!$A$6:$C$15,3,FALSE),0))</f>
        <v>1</v>
      </c>
      <c r="M9" s="99">
        <f>IF(L9="","",I9*L9)</f>
        <v>14</v>
      </c>
      <c r="N9" s="99">
        <f>IF(K9="","",K9-M9)</f>
        <v>0</v>
      </c>
      <c r="O9" s="100">
        <f>IF(OR(K9="",$K$68=0),"",K9/$K$68)</f>
        <v>0.041210408571765</v>
      </c>
      <c r="P9" s="56" t="str">
        <f>IF(COUNTA(B9:H9)=0,"",IF(OR(B9="",C9="",E9="",F9=""),"Angaben fehlen",IF(N(I9)&lt;=0,"Maße prüfen","OK")))</f>
        <v>OK</v>
      </c>
    </row>
    <row r="10" ht="19" customHeight="1">
      <c r="A10" s="50" t="n">
        <v>3</v>
      </c>
      <c r="B10" s="121" t="inlineStr">
        <is>
          <t>1. OG</t>
        </is>
      </c>
      <c r="C10" s="115" t="inlineStr">
        <is>
          <t>Wohnung 1</t>
        </is>
      </c>
      <c r="D10" s="115" t="inlineStr">
        <is>
          <t>Kinderzimmer</t>
        </is>
      </c>
      <c r="E10" s="115" t="inlineStr">
        <is>
          <t>NUF 1 – Wohnen und Aufenthalt</t>
        </is>
      </c>
      <c r="F10" s="115" t="inlineStr">
        <is>
          <t>Wohnfläche</t>
        </is>
      </c>
      <c r="G10" s="52" t="n">
        <v>3.6</v>
      </c>
      <c r="H10" s="52" t="n">
        <v>3.2</v>
      </c>
      <c r="I10" s="99">
        <f>IF(AND(ISNUMBER(G10),ISNUMBER(H10)),G10*H10*IF($I$3="Rohbaumaße",1-$I$4,1),"")</f>
        <v>11.52</v>
      </c>
      <c r="J10" s="54">
        <f>IF(OR(I10="",F10=""),"",IFERROR(VLOOKUP(F10,'Vergleich WoFlV'!$A$6:$C$15,2,FALSE),0))</f>
        <v>1</v>
      </c>
      <c r="K10" s="99">
        <f>IF(J10="","",I10*J10)</f>
        <v>11.52</v>
      </c>
      <c r="L10" s="54">
        <f>IF(OR(I10="",F10=""),"",IFERROR(VLOOKUP(F10,'Vergleich WoFlV'!$A$6:$C$15,3,FALSE),0))</f>
        <v>1</v>
      </c>
      <c r="M10" s="99">
        <f>IF(L10="","",I10*L10)</f>
        <v>11.52</v>
      </c>
      <c r="N10" s="99">
        <f>IF(K10="","",K10-M10)</f>
        <v>0</v>
      </c>
      <c r="O10" s="100">
        <f>IF(OR(K10="",$K$68=0),"",K10/$K$68)</f>
        <v>0.0339102790533381</v>
      </c>
      <c r="P10" s="56" t="str">
        <f>IF(COUNTA(B10:H10)=0,"",IF(OR(B10="",C10="",E10="",F10=""),"Angaben fehlen",IF(N(I10)&lt;=0,"Maße prüfen","OK")))</f>
        <v>OK</v>
      </c>
    </row>
    <row r="11" ht="19" customHeight="1">
      <c r="A11" s="50" t="n">
        <v>4</v>
      </c>
      <c r="B11" s="121" t="inlineStr">
        <is>
          <t>1. OG</t>
        </is>
      </c>
      <c r="C11" s="115" t="inlineStr">
        <is>
          <t>Wohnung 1</t>
        </is>
      </c>
      <c r="D11" s="115" t="inlineStr">
        <is>
          <t>Küche</t>
        </is>
      </c>
      <c r="E11" s="115" t="inlineStr">
        <is>
          <t>NUF 1 – Wohnen und Aufenthalt</t>
        </is>
      </c>
      <c r="F11" s="115" t="inlineStr">
        <is>
          <t>Wohnfläche</t>
        </is>
      </c>
      <c r="G11" s="52" t="n">
        <v>3.5</v>
      </c>
      <c r="H11" s="52" t="n">
        <v>3</v>
      </c>
      <c r="I11" s="99">
        <f>IF(AND(ISNUMBER(G11),ISNUMBER(H11)),G11*H11*IF($I$3="Rohbaumaße",1-$I$4,1),"")</f>
        <v>10.5</v>
      </c>
      <c r="J11" s="54">
        <f>IF(OR(I11="",F11=""),"",IFERROR(VLOOKUP(F11,'Vergleich WoFlV'!$A$6:$C$15,2,FALSE),0))</f>
        <v>1</v>
      </c>
      <c r="K11" s="99">
        <f>IF(J11="","",I11*J11)</f>
        <v>10.5</v>
      </c>
      <c r="L11" s="54">
        <f>IF(OR(I11="",F11=""),"",IFERROR(VLOOKUP(F11,'Vergleich WoFlV'!$A$6:$C$15,3,FALSE),0))</f>
        <v>1</v>
      </c>
      <c r="M11" s="99">
        <f>IF(L11="","",I11*L11)</f>
        <v>10.5</v>
      </c>
      <c r="N11" s="99">
        <f>IF(K11="","",K11-M11)</f>
        <v>0</v>
      </c>
      <c r="O11" s="100">
        <f>IF(OR(K11="",$K$68=0),"",K11/$K$68)</f>
        <v>0.0309078064288237</v>
      </c>
      <c r="P11" s="56" t="str">
        <f>IF(COUNTA(B11:H11)=0,"",IF(OR(B11="",C11="",E11="",F11=""),"Angaben fehlen",IF(N(I11)&lt;=0,"Maße prüfen","OK")))</f>
        <v>OK</v>
      </c>
    </row>
    <row r="12" ht="19" customHeight="1">
      <c r="A12" s="50" t="n">
        <v>5</v>
      </c>
      <c r="B12" s="121" t="inlineStr">
        <is>
          <t>1. OG</t>
        </is>
      </c>
      <c r="C12" s="115" t="inlineStr">
        <is>
          <t>Wohnung 1</t>
        </is>
      </c>
      <c r="D12" s="115" t="inlineStr">
        <is>
          <t>Bad</t>
        </is>
      </c>
      <c r="E12" s="115" t="inlineStr">
        <is>
          <t>NUF 7 – Sonstige Nutzungen</t>
        </is>
      </c>
      <c r="F12" s="115" t="inlineStr">
        <is>
          <t>Wohnfläche</t>
        </is>
      </c>
      <c r="G12" s="52" t="n">
        <v>2.5</v>
      </c>
      <c r="H12" s="52" t="n">
        <v>2.2</v>
      </c>
      <c r="I12" s="99">
        <f>IF(AND(ISNUMBER(G12),ISNUMBER(H12)),G12*H12*IF($I$3="Rohbaumaße",1-$I$4,1),"")</f>
        <v>5.5</v>
      </c>
      <c r="J12" s="54">
        <f>IF(OR(I12="",F12=""),"",IFERROR(VLOOKUP(F12,'Vergleich WoFlV'!$A$6:$C$15,2,FALSE),0))</f>
        <v>1</v>
      </c>
      <c r="K12" s="99">
        <f>IF(J12="","",I12*J12)</f>
        <v>5.5</v>
      </c>
      <c r="L12" s="54">
        <f>IF(OR(I12="",F12=""),"",IFERROR(VLOOKUP(F12,'Vergleich WoFlV'!$A$6:$C$15,3,FALSE),0))</f>
        <v>1</v>
      </c>
      <c r="M12" s="99">
        <f>IF(L12="","",I12*L12)</f>
        <v>5.5</v>
      </c>
      <c r="N12" s="99">
        <f>IF(K12="","",K12-M12)</f>
        <v>0</v>
      </c>
      <c r="O12" s="100">
        <f>IF(OR(K12="",$K$68=0),"",K12/$K$68)</f>
        <v>0.0161898033674791</v>
      </c>
      <c r="P12" s="56" t="str">
        <f>IF(COUNTA(B12:H12)=0,"",IF(OR(B12="",C12="",E12="",F12=""),"Angaben fehlen",IF(N(I12)&lt;=0,"Maße prüfen","OK")))</f>
        <v>OK</v>
      </c>
    </row>
    <row r="13" ht="19" customHeight="1">
      <c r="A13" s="50" t="n">
        <v>6</v>
      </c>
      <c r="B13" s="121" t="inlineStr">
        <is>
          <t>1. OG</t>
        </is>
      </c>
      <c r="C13" s="115" t="inlineStr">
        <is>
          <t>Wohnung 1</t>
        </is>
      </c>
      <c r="D13" s="115" t="inlineStr">
        <is>
          <t>Flur</t>
        </is>
      </c>
      <c r="E13" s="115" t="inlineStr">
        <is>
          <t>VF – Verkehrsfläche</t>
        </is>
      </c>
      <c r="F13" s="115" t="inlineStr">
        <is>
          <t>Flur in der Wohnung</t>
        </is>
      </c>
      <c r="G13" s="52" t="n">
        <v>4.5</v>
      </c>
      <c r="H13" s="52" t="n">
        <v>1.2</v>
      </c>
      <c r="I13" s="99">
        <f>IF(AND(ISNUMBER(G13),ISNUMBER(H13)),G13*H13*IF($I$3="Rohbaumaße",1-$I$4,1),"")</f>
        <v>5.4</v>
      </c>
      <c r="J13" s="54">
        <f>IF(OR(I13="",F13=""),"",IFERROR(VLOOKUP(F13,'Vergleich WoFlV'!$A$6:$C$15,2,FALSE),0))</f>
        <v>1</v>
      </c>
      <c r="K13" s="99">
        <f>IF(J13="","",I13*J13)</f>
        <v>5.4</v>
      </c>
      <c r="L13" s="54">
        <f>IF(OR(I13="",F13=""),"",IFERROR(VLOOKUP(F13,'Vergleich WoFlV'!$A$6:$C$15,3,FALSE),0))</f>
        <v>1</v>
      </c>
      <c r="M13" s="99">
        <f>IF(L13="","",I13*L13)</f>
        <v>5.4</v>
      </c>
      <c r="N13" s="99">
        <f>IF(K13="","",K13-M13)</f>
        <v>0</v>
      </c>
      <c r="O13" s="100">
        <f>IF(OR(K13="",$K$68=0),"",K13/$K$68)</f>
        <v>0.0158954433062522</v>
      </c>
      <c r="P13" s="56" t="str">
        <f>IF(COUNTA(B13:H13)=0,"",IF(OR(B13="",C13="",E13="",F13=""),"Angaben fehlen",IF(N(I13)&lt;=0,"Maße prüfen","OK")))</f>
        <v>OK</v>
      </c>
    </row>
    <row r="14" ht="19" customHeight="1">
      <c r="A14" s="50" t="n">
        <v>7</v>
      </c>
      <c r="B14" s="121" t="inlineStr">
        <is>
          <t>1. OG</t>
        </is>
      </c>
      <c r="C14" s="115" t="inlineStr">
        <is>
          <t>Wohnung 1</t>
        </is>
      </c>
      <c r="D14" s="115" t="inlineStr">
        <is>
          <t>Balkon</t>
        </is>
      </c>
      <c r="E14" s="115" t="inlineStr">
        <is>
          <t>NUF 1 – Wohnen und Aufenthalt</t>
        </is>
      </c>
      <c r="F14" s="115" t="inlineStr">
        <is>
          <t>Balkon/Terrasse</t>
        </is>
      </c>
      <c r="G14" s="52" t="n">
        <v>3</v>
      </c>
      <c r="H14" s="52" t="n">
        <v>1.8</v>
      </c>
      <c r="I14" s="99">
        <f>IF(AND(ISNUMBER(G14),ISNUMBER(H14)),G14*H14*IF($I$3="Rohbaumaße",1-$I$4,1),"")</f>
        <v>5.4</v>
      </c>
      <c r="J14" s="54">
        <f>IF(OR(I14="",F14=""),"",IFERROR(VLOOKUP(F14,'Vergleich WoFlV'!$A$6:$C$15,2,FALSE),0))</f>
        <v>1</v>
      </c>
      <c r="K14" s="99">
        <f>IF(J14="","",I14*J14)</f>
        <v>5.4</v>
      </c>
      <c r="L14" s="54">
        <f>IF(OR(I14="",F14=""),"",IFERROR(VLOOKUP(F14,'Vergleich WoFlV'!$A$6:$C$15,3,FALSE),0))</f>
        <v>0.5</v>
      </c>
      <c r="M14" s="99">
        <f>IF(L14="","",I14*L14)</f>
        <v>2.7</v>
      </c>
      <c r="N14" s="99">
        <f>IF(K14="","",K14-M14)</f>
        <v>2.7</v>
      </c>
      <c r="O14" s="100">
        <f>IF(OR(K14="",$K$68=0),"",K14/$K$68)</f>
        <v>0.0158954433062522</v>
      </c>
      <c r="P14" s="56" t="str">
        <f>IF(COUNTA(B14:H14)=0,"",IF(OR(B14="",C14="",E14="",F14=""),"Angaben fehlen",IF(N(I14)&lt;=0,"Maße prüfen","OK")))</f>
        <v>OK</v>
      </c>
    </row>
    <row r="15" ht="19" customHeight="1">
      <c r="A15" s="50" t="n">
        <v>8</v>
      </c>
      <c r="B15" s="121" t="inlineStr">
        <is>
          <t>DG</t>
        </is>
      </c>
      <c r="C15" s="115" t="inlineStr">
        <is>
          <t>Wohnung 2</t>
        </is>
      </c>
      <c r="D15" s="115" t="inlineStr">
        <is>
          <t>Wohn-/Essbereich</t>
        </is>
      </c>
      <c r="E15" s="115" t="inlineStr">
        <is>
          <t>NUF 1 – Wohnen und Aufenthalt</t>
        </is>
      </c>
      <c r="F15" s="115" t="inlineStr">
        <is>
          <t>Wohnfläche</t>
        </is>
      </c>
      <c r="G15" s="52" t="n">
        <v>6</v>
      </c>
      <c r="H15" s="52" t="n">
        <v>4.5</v>
      </c>
      <c r="I15" s="99">
        <f>IF(AND(ISNUMBER(G15),ISNUMBER(H15)),G15*H15*IF($I$3="Rohbaumaße",1-$I$4,1),"")</f>
        <v>27</v>
      </c>
      <c r="J15" s="54">
        <f>IF(OR(I15="",F15=""),"",IFERROR(VLOOKUP(F15,'Vergleich WoFlV'!$A$6:$C$15,2,FALSE),0))</f>
        <v>1</v>
      </c>
      <c r="K15" s="99">
        <f>IF(J15="","",I15*J15)</f>
        <v>27</v>
      </c>
      <c r="L15" s="54">
        <f>IF(OR(I15="",F15=""),"",IFERROR(VLOOKUP(F15,'Vergleich WoFlV'!$A$6:$C$15,3,FALSE),0))</f>
        <v>1</v>
      </c>
      <c r="M15" s="99">
        <f>IF(L15="","",I15*L15)</f>
        <v>27</v>
      </c>
      <c r="N15" s="99">
        <f>IF(K15="","",K15-M15)</f>
        <v>0</v>
      </c>
      <c r="O15" s="100">
        <f>IF(OR(K15="",$K$68=0),"",K15/$K$68)</f>
        <v>0.0794772165312611</v>
      </c>
      <c r="P15" s="56" t="str">
        <f>IF(COUNTA(B15:H15)=0,"",IF(OR(B15="",C15="",E15="",F15=""),"Angaben fehlen",IF(N(I15)&lt;=0,"Maße prüfen","OK")))</f>
        <v>OK</v>
      </c>
    </row>
    <row r="16" ht="19" customHeight="1">
      <c r="A16" s="50" t="n">
        <v>9</v>
      </c>
      <c r="B16" s="121" t="inlineStr">
        <is>
          <t>DG</t>
        </is>
      </c>
      <c r="C16" s="115" t="inlineStr">
        <is>
          <t>Wohnung 2</t>
        </is>
      </c>
      <c r="D16" s="115" t="inlineStr">
        <is>
          <t>Schlafzimmer</t>
        </is>
      </c>
      <c r="E16" s="115" t="inlineStr">
        <is>
          <t>NUF 1 – Wohnen und Aufenthalt</t>
        </is>
      </c>
      <c r="F16" s="115" t="inlineStr">
        <is>
          <t>Wohnfläche</t>
        </is>
      </c>
      <c r="G16" s="52" t="n">
        <v>4.2</v>
      </c>
      <c r="H16" s="52" t="n">
        <v>3.6</v>
      </c>
      <c r="I16" s="99">
        <f>IF(AND(ISNUMBER(G16),ISNUMBER(H16)),G16*H16*IF($I$3="Rohbaumaße",1-$I$4,1),"")</f>
        <v>15.12</v>
      </c>
      <c r="J16" s="54">
        <f>IF(OR(I16="",F16=""),"",IFERROR(VLOOKUP(F16,'Vergleich WoFlV'!$A$6:$C$15,2,FALSE),0))</f>
        <v>1</v>
      </c>
      <c r="K16" s="99">
        <f>IF(J16="","",I16*J16)</f>
        <v>15.12</v>
      </c>
      <c r="L16" s="54">
        <f>IF(OR(I16="",F16=""),"",IFERROR(VLOOKUP(F16,'Vergleich WoFlV'!$A$6:$C$15,3,FALSE),0))</f>
        <v>1</v>
      </c>
      <c r="M16" s="99">
        <f>IF(L16="","",I16*L16)</f>
        <v>15.12</v>
      </c>
      <c r="N16" s="99">
        <f>IF(K16="","",K16-M16)</f>
        <v>0</v>
      </c>
      <c r="O16" s="100">
        <f>IF(OR(K16="",$K$68=0),"",K16/$K$68)</f>
        <v>0.0445072412575062</v>
      </c>
      <c r="P16" s="56" t="str">
        <f>IF(COUNTA(B16:H16)=0,"",IF(OR(B16="",C16="",E16="",F16=""),"Angaben fehlen",IF(N(I16)&lt;=0,"Maße prüfen","OK")))</f>
        <v>OK</v>
      </c>
    </row>
    <row r="17" ht="19" customHeight="1">
      <c r="A17" s="50" t="n">
        <v>10</v>
      </c>
      <c r="B17" s="121" t="inlineStr">
        <is>
          <t>DG</t>
        </is>
      </c>
      <c r="C17" s="115" t="inlineStr">
        <is>
          <t>Wohnung 2</t>
        </is>
      </c>
      <c r="D17" s="115" t="inlineStr">
        <is>
          <t>Arbeitszimmer</t>
        </is>
      </c>
      <c r="E17" s="115" t="inlineStr">
        <is>
          <t>NUF 2 – Büroarbeit</t>
        </is>
      </c>
      <c r="F17" s="115" t="inlineStr">
        <is>
          <t>Wohnfläche</t>
        </is>
      </c>
      <c r="G17" s="52" t="n">
        <v>3.4</v>
      </c>
      <c r="H17" s="52" t="n">
        <v>3</v>
      </c>
      <c r="I17" s="99">
        <f>IF(AND(ISNUMBER(G17),ISNUMBER(H17)),G17*H17*IF($I$3="Rohbaumaße",1-$I$4,1),"")</f>
        <v>10.2</v>
      </c>
      <c r="J17" s="54">
        <f>IF(OR(I17="",F17=""),"",IFERROR(VLOOKUP(F17,'Vergleich WoFlV'!$A$6:$C$15,2,FALSE),0))</f>
        <v>1</v>
      </c>
      <c r="K17" s="99">
        <f>IF(J17="","",I17*J17)</f>
        <v>10.2</v>
      </c>
      <c r="L17" s="54">
        <f>IF(OR(I17="",F17=""),"",IFERROR(VLOOKUP(F17,'Vergleich WoFlV'!$A$6:$C$15,3,FALSE),0))</f>
        <v>1</v>
      </c>
      <c r="M17" s="99">
        <f>IF(L17="","",I17*L17)</f>
        <v>10.2</v>
      </c>
      <c r="N17" s="99">
        <f>IF(K17="","",K17-M17)</f>
        <v>0</v>
      </c>
      <c r="O17" s="100">
        <f>IF(OR(K17="",$K$68=0),"",K17/$K$68)</f>
        <v>0.0300247262451431</v>
      </c>
      <c r="P17" s="56" t="str">
        <f>IF(COUNTA(B17:H17)=0,"",IF(OR(B17="",C17="",E17="",F17=""),"Angaben fehlen",IF(N(I17)&lt;=0,"Maße prüfen","OK")))</f>
        <v>OK</v>
      </c>
    </row>
    <row r="18" ht="19" customHeight="1">
      <c r="A18" s="50" t="n">
        <v>11</v>
      </c>
      <c r="B18" s="121" t="inlineStr">
        <is>
          <t>DG</t>
        </is>
      </c>
      <c r="C18" s="115" t="inlineStr">
        <is>
          <t>Wohnung 2</t>
        </is>
      </c>
      <c r="D18" s="115" t="inlineStr">
        <is>
          <t>Bad</t>
        </is>
      </c>
      <c r="E18" s="115" t="inlineStr">
        <is>
          <t>NUF 7 – Sonstige Nutzungen</t>
        </is>
      </c>
      <c r="F18" s="115" t="inlineStr">
        <is>
          <t>Wohnfläche</t>
        </is>
      </c>
      <c r="G18" s="52" t="n">
        <v>2.8</v>
      </c>
      <c r="H18" s="52" t="n">
        <v>2.4</v>
      </c>
      <c r="I18" s="99">
        <f>IF(AND(ISNUMBER(G18),ISNUMBER(H18)),G18*H18*IF($I$3="Rohbaumaße",1-$I$4,1),"")</f>
        <v>6.72</v>
      </c>
      <c r="J18" s="54">
        <f>IF(OR(I18="",F18=""),"",IFERROR(VLOOKUP(F18,'Vergleich WoFlV'!$A$6:$C$15,2,FALSE),0))</f>
        <v>1</v>
      </c>
      <c r="K18" s="99">
        <f>IF(J18="","",I18*J18)</f>
        <v>6.72</v>
      </c>
      <c r="L18" s="54">
        <f>IF(OR(I18="",F18=""),"",IFERROR(VLOOKUP(F18,'Vergleich WoFlV'!$A$6:$C$15,3,FALSE),0))</f>
        <v>1</v>
      </c>
      <c r="M18" s="99">
        <f>IF(L18="","",I18*L18)</f>
        <v>6.72</v>
      </c>
      <c r="N18" s="99">
        <f>IF(K18="","",K18-M18)</f>
        <v>0</v>
      </c>
      <c r="O18" s="100">
        <f>IF(OR(K18="",$K$68=0),"",K18/$K$68)</f>
        <v>0.0197809961144472</v>
      </c>
      <c r="P18" s="56" t="str">
        <f>IF(COUNTA(B18:H18)=0,"",IF(OR(B18="",C18="",E18="",F18=""),"Angaben fehlen",IF(N(I18)&lt;=0,"Maße prüfen","OK")))</f>
        <v>OK</v>
      </c>
    </row>
    <row r="19" ht="19" customHeight="1">
      <c r="A19" s="50" t="n">
        <v>12</v>
      </c>
      <c r="B19" s="121" t="inlineStr">
        <is>
          <t>DG</t>
        </is>
      </c>
      <c r="C19" s="115" t="inlineStr">
        <is>
          <t>Wohnung 2</t>
        </is>
      </c>
      <c r="D19" s="115" t="inlineStr">
        <is>
          <t>Dachschräge 1–2 m (Wohnbereich)</t>
        </is>
      </c>
      <c r="E19" s="115" t="inlineStr">
        <is>
          <t>NUF 1 – Wohnen und Aufenthalt</t>
        </is>
      </c>
      <c r="F19" s="115" t="inlineStr">
        <is>
          <t>Dachschräge 1–2 m</t>
        </is>
      </c>
      <c r="G19" s="52" t="n">
        <v>6</v>
      </c>
      <c r="H19" s="52" t="n">
        <v>1.2</v>
      </c>
      <c r="I19" s="99">
        <f>IF(AND(ISNUMBER(G19),ISNUMBER(H19)),G19*H19*IF($I$3="Rohbaumaße",1-$I$4,1),"")</f>
        <v>7.2</v>
      </c>
      <c r="J19" s="54">
        <f>IF(OR(I19="",F19=""),"",IFERROR(VLOOKUP(F19,'Vergleich WoFlV'!$A$6:$C$15,2,FALSE),0))</f>
        <v>1</v>
      </c>
      <c r="K19" s="99">
        <f>IF(J19="","",I19*J19)</f>
        <v>7.2</v>
      </c>
      <c r="L19" s="54">
        <f>IF(OR(I19="",F19=""),"",IFERROR(VLOOKUP(F19,'Vergleich WoFlV'!$A$6:$C$15,3,FALSE),0))</f>
        <v>0.5</v>
      </c>
      <c r="M19" s="99">
        <f>IF(L19="","",I19*L19)</f>
        <v>3.6</v>
      </c>
      <c r="N19" s="99">
        <f>IF(K19="","",K19-M19)</f>
        <v>3.6</v>
      </c>
      <c r="O19" s="100">
        <f>IF(OR(K19="",$K$68=0),"",K19/$K$68)</f>
        <v>0.0211939244083363</v>
      </c>
      <c r="P19" s="56" t="str">
        <f>IF(COUNTA(B19:H19)=0,"",IF(OR(B19="",C19="",E19="",F19=""),"Angaben fehlen",IF(N(I19)&lt;=0,"Maße prüfen","OK")))</f>
        <v>OK</v>
      </c>
    </row>
    <row r="20" ht="19" customHeight="1">
      <c r="A20" s="50" t="n">
        <v>13</v>
      </c>
      <c r="B20" s="121" t="inlineStr">
        <is>
          <t>DG</t>
        </is>
      </c>
      <c r="C20" s="115" t="inlineStr">
        <is>
          <t>Wohnung 2</t>
        </is>
      </c>
      <c r="D20" s="115" t="inlineStr">
        <is>
          <t>Dachschräge unter 1 m (Wohnbereich)</t>
        </is>
      </c>
      <c r="E20" s="115" t="inlineStr">
        <is>
          <t>NUF 1 – Wohnen und Aufenthalt</t>
        </is>
      </c>
      <c r="F20" s="115" t="inlineStr">
        <is>
          <t>Dachschräge unter 1 m</t>
        </is>
      </c>
      <c r="G20" s="52" t="n">
        <v>6</v>
      </c>
      <c r="H20" s="52" t="n">
        <v>0.8</v>
      </c>
      <c r="I20" s="99">
        <f>IF(AND(ISNUMBER(G20),ISNUMBER(H20)),G20*H20*IF($I$3="Rohbaumaße",1-$I$4,1),"")</f>
        <v>4.8</v>
      </c>
      <c r="J20" s="54">
        <f>IF(OR(I20="",F20=""),"",IFERROR(VLOOKUP(F20,'Vergleich WoFlV'!$A$6:$C$15,2,FALSE),0))</f>
        <v>1</v>
      </c>
      <c r="K20" s="99">
        <f>IF(J20="","",I20*J20)</f>
        <v>4.8</v>
      </c>
      <c r="L20" s="54">
        <f>IF(OR(I20="",F20=""),"",IFERROR(VLOOKUP(F20,'Vergleich WoFlV'!$A$6:$C$15,3,FALSE),0))</f>
        <v>0</v>
      </c>
      <c r="M20" s="99">
        <f>IF(L20="","",I20*L20)</f>
        <v>0</v>
      </c>
      <c r="N20" s="99">
        <f>IF(K20="","",K20-M20)</f>
        <v>4.8</v>
      </c>
      <c r="O20" s="100">
        <f>IF(OR(K20="",$K$68=0),"",K20/$K$68)</f>
        <v>0.0141292829388909</v>
      </c>
      <c r="P20" s="56" t="str">
        <f>IF(COUNTA(B20:H20)=0,"",IF(OR(B20="",C20="",E20="",F20=""),"Angaben fehlen",IF(N(I20)&lt;=0,"Maße prüfen","OK")))</f>
        <v>OK</v>
      </c>
    </row>
    <row r="21" ht="19" customHeight="1">
      <c r="A21" s="50" t="n">
        <v>14</v>
      </c>
      <c r="B21" s="121" t="inlineStr">
        <is>
          <t>DG</t>
        </is>
      </c>
      <c r="C21" s="115" t="inlineStr">
        <is>
          <t>Wohnung 2</t>
        </is>
      </c>
      <c r="D21" s="115" t="inlineStr">
        <is>
          <t>Dachterrasse</t>
        </is>
      </c>
      <c r="E21" s="115" t="inlineStr">
        <is>
          <t>NUF 1 – Wohnen und Aufenthalt</t>
        </is>
      </c>
      <c r="F21" s="115" t="inlineStr">
        <is>
          <t>Balkon/Terrasse</t>
        </is>
      </c>
      <c r="G21" s="52" t="n">
        <v>5</v>
      </c>
      <c r="H21" s="52" t="n">
        <v>3</v>
      </c>
      <c r="I21" s="99">
        <f>IF(AND(ISNUMBER(G21),ISNUMBER(H21)),G21*H21*IF($I$3="Rohbaumaße",1-$I$4,1),"")</f>
        <v>15</v>
      </c>
      <c r="J21" s="54">
        <f>IF(OR(I21="",F21=""),"",IFERROR(VLOOKUP(F21,'Vergleich WoFlV'!$A$6:$C$15,2,FALSE),0))</f>
        <v>1</v>
      </c>
      <c r="K21" s="99">
        <f>IF(J21="","",I21*J21)</f>
        <v>15</v>
      </c>
      <c r="L21" s="54">
        <f>IF(OR(I21="",F21=""),"",IFERROR(VLOOKUP(F21,'Vergleich WoFlV'!$A$6:$C$15,3,FALSE),0))</f>
        <v>0.5</v>
      </c>
      <c r="M21" s="99">
        <f>IF(L21="","",I21*L21)</f>
        <v>7.5</v>
      </c>
      <c r="N21" s="99">
        <f>IF(K21="","",K21-M21)</f>
        <v>7.5</v>
      </c>
      <c r="O21" s="100">
        <f>IF(OR(K21="",$K$68=0),"",K21/$K$68)</f>
        <v>0.0441540091840339</v>
      </c>
      <c r="P21" s="56" t="str">
        <f>IF(COUNTA(B21:H21)=0,"",IF(OR(B21="",C21="",E21="",F21=""),"Angaben fehlen",IF(N(I21)&lt;=0,"Maße prüfen","OK")))</f>
        <v>OK</v>
      </c>
    </row>
    <row r="22" ht="19" customHeight="1">
      <c r="A22" s="50" t="n">
        <v>15</v>
      </c>
      <c r="B22" s="121" t="inlineStr">
        <is>
          <t>DG</t>
        </is>
      </c>
      <c r="C22" s="115" t="inlineStr">
        <is>
          <t>Wohnung 2</t>
        </is>
      </c>
      <c r="D22" s="115" t="inlineStr">
        <is>
          <t>Loggia unbeheizt</t>
        </is>
      </c>
      <c r="E22" s="115" t="inlineStr">
        <is>
          <t>NUF 1 – Wohnen und Aufenthalt</t>
        </is>
      </c>
      <c r="F22" s="115" t="inlineStr">
        <is>
          <t>Balkon/Terrasse unbeheizt</t>
        </is>
      </c>
      <c r="G22" s="52" t="n">
        <v>2.4</v>
      </c>
      <c r="H22" s="52" t="n">
        <v>1.5</v>
      </c>
      <c r="I22" s="99">
        <f>IF(AND(ISNUMBER(G22),ISNUMBER(H22)),G22*H22*IF($I$3="Rohbaumaße",1-$I$4,1),"")</f>
        <v>3.6</v>
      </c>
      <c r="J22" s="54">
        <f>IF(OR(I22="",F22=""),"",IFERROR(VLOOKUP(F22,'Vergleich WoFlV'!$A$6:$C$15,2,FALSE),0))</f>
        <v>1</v>
      </c>
      <c r="K22" s="99">
        <f>IF(J22="","",I22*J22)</f>
        <v>3.6</v>
      </c>
      <c r="L22" s="54">
        <f>IF(OR(I22="",F22=""),"",IFERROR(VLOOKUP(F22,'Vergleich WoFlV'!$A$6:$C$15,3,FALSE),0))</f>
        <v>0.25</v>
      </c>
      <c r="M22" s="99">
        <f>IF(L22="","",I22*L22)</f>
        <v>0.9</v>
      </c>
      <c r="N22" s="99">
        <f>IF(K22="","",K22-M22)</f>
        <v>2.7</v>
      </c>
      <c r="O22" s="100">
        <f>IF(OR(K22="",$K$68=0),"",K22/$K$68)</f>
        <v>0.0105969622041681</v>
      </c>
      <c r="P22" s="56" t="str">
        <f>IF(COUNTA(B22:H22)=0,"",IF(OR(B22="",C22="",E22="",F22=""),"Angaben fehlen",IF(N(I22)&lt;=0,"Maße prüfen","OK")))</f>
        <v>OK</v>
      </c>
    </row>
    <row r="23" ht="19" customHeight="1">
      <c r="A23" s="50" t="n">
        <v>16</v>
      </c>
      <c r="B23" s="121" t="inlineStr">
        <is>
          <t>EG</t>
        </is>
      </c>
      <c r="C23" s="115" t="inlineStr">
        <is>
          <t>Gewerbe</t>
        </is>
      </c>
      <c r="D23" s="115" t="inlineStr">
        <is>
          <t>Büro</t>
        </is>
      </c>
      <c r="E23" s="115" t="inlineStr">
        <is>
          <t>NUF 2 – Büroarbeit</t>
        </is>
      </c>
      <c r="F23" s="115" t="inlineStr">
        <is>
          <t>Büro-/Gewerbefläche</t>
        </is>
      </c>
      <c r="G23" s="52" t="n">
        <v>6</v>
      </c>
      <c r="H23" s="52" t="n">
        <v>4</v>
      </c>
      <c r="I23" s="99">
        <f>IF(AND(ISNUMBER(G23),ISNUMBER(H23)),G23*H23*IF($I$3="Rohbaumaße",1-$I$4,1),"")</f>
        <v>24</v>
      </c>
      <c r="J23" s="54">
        <f>IF(OR(I23="",F23=""),"",IFERROR(VLOOKUP(F23,'Vergleich WoFlV'!$A$6:$C$15,2,FALSE),0))</f>
        <v>1</v>
      </c>
      <c r="K23" s="99">
        <f>IF(J23="","",I23*J23)</f>
        <v>24</v>
      </c>
      <c r="L23" s="54">
        <f>IF(OR(I23="",F23=""),"",IFERROR(VLOOKUP(F23,'Vergleich WoFlV'!$A$6:$C$15,3,FALSE),0))</f>
        <v>1</v>
      </c>
      <c r="M23" s="99">
        <f>IF(L23="","",I23*L23)</f>
        <v>24</v>
      </c>
      <c r="N23" s="99">
        <f>IF(K23="","",K23-M23)</f>
        <v>0</v>
      </c>
      <c r="O23" s="100">
        <f>IF(OR(K23="",$K$68=0),"",K23/$K$68)</f>
        <v>0.0706464146944543</v>
      </c>
      <c r="P23" s="56" t="str">
        <f>IF(COUNTA(B23:H23)=0,"",IF(OR(B23="",C23="",E23="",F23=""),"Angaben fehlen",IF(N(I23)&lt;=0,"Maße prüfen","OK")))</f>
        <v>OK</v>
      </c>
    </row>
    <row r="24" ht="19" customHeight="1">
      <c r="A24" s="50" t="n">
        <v>17</v>
      </c>
      <c r="B24" s="121" t="inlineStr">
        <is>
          <t>EG</t>
        </is>
      </c>
      <c r="C24" s="115" t="inlineStr">
        <is>
          <t>Gewerbe</t>
        </is>
      </c>
      <c r="D24" s="115" t="inlineStr">
        <is>
          <t>Besprechungsraum</t>
        </is>
      </c>
      <c r="E24" s="115" t="inlineStr">
        <is>
          <t>NUF 2 – Büroarbeit</t>
        </is>
      </c>
      <c r="F24" s="115" t="inlineStr">
        <is>
          <t>Büro-/Gewerbefläche</t>
        </is>
      </c>
      <c r="G24" s="52" t="n">
        <v>4</v>
      </c>
      <c r="H24" s="52" t="n">
        <v>3.5</v>
      </c>
      <c r="I24" s="99">
        <f>IF(AND(ISNUMBER(G24),ISNUMBER(H24)),G24*H24*IF($I$3="Rohbaumaße",1-$I$4,1),"")</f>
        <v>14</v>
      </c>
      <c r="J24" s="54">
        <f>IF(OR(I24="",F24=""),"",IFERROR(VLOOKUP(F24,'Vergleich WoFlV'!$A$6:$C$15,2,FALSE),0))</f>
        <v>1</v>
      </c>
      <c r="K24" s="99">
        <f>IF(J24="","",I24*J24)</f>
        <v>14</v>
      </c>
      <c r="L24" s="54">
        <f>IF(OR(I24="",F24=""),"",IFERROR(VLOOKUP(F24,'Vergleich WoFlV'!$A$6:$C$15,3,FALSE),0))</f>
        <v>1</v>
      </c>
      <c r="M24" s="99">
        <f>IF(L24="","",I24*L24)</f>
        <v>14</v>
      </c>
      <c r="N24" s="99">
        <f>IF(K24="","",K24-M24)</f>
        <v>0</v>
      </c>
      <c r="O24" s="100">
        <f>IF(OR(K24="",$K$68=0),"",K24/$K$68)</f>
        <v>0.041210408571765</v>
      </c>
      <c r="P24" s="56" t="str">
        <f>IF(COUNTA(B24:H24)=0,"",IF(OR(B24="",C24="",E24="",F24=""),"Angaben fehlen",IF(N(I24)&lt;=0,"Maße prüfen","OK")))</f>
        <v>OK</v>
      </c>
    </row>
    <row r="25" ht="19" customHeight="1">
      <c r="A25" s="50" t="n">
        <v>18</v>
      </c>
      <c r="B25" s="121" t="inlineStr">
        <is>
          <t>EG</t>
        </is>
      </c>
      <c r="C25" s="115" t="inlineStr">
        <is>
          <t>Gewerbe</t>
        </is>
      </c>
      <c r="D25" s="115" t="inlineStr">
        <is>
          <t>Werkstatt</t>
        </is>
      </c>
      <c r="E25" s="115" t="inlineStr">
        <is>
          <t>NUF 3 – Produktion</t>
        </is>
      </c>
      <c r="F25" s="115" t="inlineStr">
        <is>
          <t>Büro-/Gewerbefläche</t>
        </is>
      </c>
      <c r="G25" s="52" t="n">
        <v>5</v>
      </c>
      <c r="H25" s="52" t="n">
        <v>4</v>
      </c>
      <c r="I25" s="99">
        <f>IF(AND(ISNUMBER(G25),ISNUMBER(H25)),G25*H25*IF($I$3="Rohbaumaße",1-$I$4,1),"")</f>
        <v>20</v>
      </c>
      <c r="J25" s="54">
        <f>IF(OR(I25="",F25=""),"",IFERROR(VLOOKUP(F25,'Vergleich WoFlV'!$A$6:$C$15,2,FALSE),0))</f>
        <v>1</v>
      </c>
      <c r="K25" s="99">
        <f>IF(J25="","",I25*J25)</f>
        <v>20</v>
      </c>
      <c r="L25" s="54">
        <f>IF(OR(I25="",F25=""),"",IFERROR(VLOOKUP(F25,'Vergleich WoFlV'!$A$6:$C$15,3,FALSE),0))</f>
        <v>1</v>
      </c>
      <c r="M25" s="99">
        <f>IF(L25="","",I25*L25)</f>
        <v>20</v>
      </c>
      <c r="N25" s="99">
        <f>IF(K25="","",K25-M25)</f>
        <v>0</v>
      </c>
      <c r="O25" s="100">
        <f>IF(OR(K25="",$K$68=0),"",K25/$K$68)</f>
        <v>0.0588720122453786</v>
      </c>
      <c r="P25" s="56" t="str">
        <f>IF(COUNTA(B25:H25)=0,"",IF(OR(B25="",C25="",E25="",F25=""),"Angaben fehlen",IF(N(I25)&lt;=0,"Maße prüfen","OK")))</f>
        <v>OK</v>
      </c>
    </row>
    <row r="26" ht="19" customHeight="1">
      <c r="A26" s="50" t="n">
        <v>19</v>
      </c>
      <c r="B26" s="121" t="inlineStr">
        <is>
          <t>EG</t>
        </is>
      </c>
      <c r="C26" s="115" t="inlineStr">
        <is>
          <t>Gewerbe</t>
        </is>
      </c>
      <c r="D26" s="115" t="inlineStr">
        <is>
          <t>Lager</t>
        </is>
      </c>
      <c r="E26" s="115" t="inlineStr">
        <is>
          <t>NUF 4 – Lagern und Verteilen</t>
        </is>
      </c>
      <c r="F26" s="115" t="inlineStr">
        <is>
          <t>Büro-/Gewerbefläche</t>
        </is>
      </c>
      <c r="G26" s="52" t="n">
        <v>4</v>
      </c>
      <c r="H26" s="52" t="n">
        <v>3</v>
      </c>
      <c r="I26" s="99">
        <f>IF(AND(ISNUMBER(G26),ISNUMBER(H26)),G26*H26*IF($I$3="Rohbaumaße",1-$I$4,1),"")</f>
        <v>12</v>
      </c>
      <c r="J26" s="54">
        <f>IF(OR(I26="",F26=""),"",IFERROR(VLOOKUP(F26,'Vergleich WoFlV'!$A$6:$C$15,2,FALSE),0))</f>
        <v>1</v>
      </c>
      <c r="K26" s="99">
        <f>IF(J26="","",I26*J26)</f>
        <v>12</v>
      </c>
      <c r="L26" s="54">
        <f>IF(OR(I26="",F26=""),"",IFERROR(VLOOKUP(F26,'Vergleich WoFlV'!$A$6:$C$15,3,FALSE),0))</f>
        <v>1</v>
      </c>
      <c r="M26" s="99">
        <f>IF(L26="","",I26*L26)</f>
        <v>12</v>
      </c>
      <c r="N26" s="99">
        <f>IF(K26="","",K26-M26)</f>
        <v>0</v>
      </c>
      <c r="O26" s="100">
        <f>IF(OR(K26="",$K$68=0),"",K26/$K$68)</f>
        <v>0.0353232073472271</v>
      </c>
      <c r="P26" s="56" t="str">
        <f>IF(COUNTA(B26:H26)=0,"",IF(OR(B26="",C26="",E26="",F26=""),"Angaben fehlen",IF(N(I26)&lt;=0,"Maße prüfen","OK")))</f>
        <v>OK</v>
      </c>
    </row>
    <row r="27" ht="19" customHeight="1">
      <c r="A27" s="50" t="n">
        <v>20</v>
      </c>
      <c r="B27" s="121" t="inlineStr">
        <is>
          <t>EG</t>
        </is>
      </c>
      <c r="C27" s="115" t="inlineStr">
        <is>
          <t>Gewerbe</t>
        </is>
      </c>
      <c r="D27" s="115" t="inlineStr">
        <is>
          <t>Schulungsraum</t>
        </is>
      </c>
      <c r="E27" s="115" t="inlineStr">
        <is>
          <t>NUF 5 – Bildung und Kultur</t>
        </is>
      </c>
      <c r="F27" s="115" t="inlineStr">
        <is>
          <t>Büro-/Gewerbefläche</t>
        </is>
      </c>
      <c r="G27" s="52" t="n">
        <v>5</v>
      </c>
      <c r="H27" s="52" t="n">
        <v>4.5</v>
      </c>
      <c r="I27" s="99">
        <f>IF(AND(ISNUMBER(G27),ISNUMBER(H27)),G27*H27*IF($I$3="Rohbaumaße",1-$I$4,1),"")</f>
        <v>22.5</v>
      </c>
      <c r="J27" s="54">
        <f>IF(OR(I27="",F27=""),"",IFERROR(VLOOKUP(F27,'Vergleich WoFlV'!$A$6:$C$15,2,FALSE),0))</f>
        <v>1</v>
      </c>
      <c r="K27" s="99">
        <f>IF(J27="","",I27*J27)</f>
        <v>22.5</v>
      </c>
      <c r="L27" s="54">
        <f>IF(OR(I27="",F27=""),"",IFERROR(VLOOKUP(F27,'Vergleich WoFlV'!$A$6:$C$15,3,FALSE),0))</f>
        <v>1</v>
      </c>
      <c r="M27" s="99">
        <f>IF(L27="","",I27*L27)</f>
        <v>22.5</v>
      </c>
      <c r="N27" s="99">
        <f>IF(K27="","",K27-M27)</f>
        <v>0</v>
      </c>
      <c r="O27" s="100">
        <f>IF(OR(K27="",$K$68=0),"",K27/$K$68)</f>
        <v>0.0662310137760509</v>
      </c>
      <c r="P27" s="56" t="str">
        <f>IF(COUNTA(B27:H27)=0,"",IF(OR(B27="",C27="",E27="",F27=""),"Angaben fehlen",IF(N(I27)&lt;=0,"Maße prüfen","OK")))</f>
        <v>OK</v>
      </c>
    </row>
    <row r="28" ht="19" customHeight="1">
      <c r="A28" s="50" t="n">
        <v>21</v>
      </c>
      <c r="B28" s="121" t="inlineStr">
        <is>
          <t>EG</t>
        </is>
      </c>
      <c r="C28" s="115" t="inlineStr">
        <is>
          <t>Gewerbe</t>
        </is>
      </c>
      <c r="D28" s="115" t="inlineStr">
        <is>
          <t>Behandlungsraum</t>
        </is>
      </c>
      <c r="E28" s="115" t="inlineStr">
        <is>
          <t>NUF 6 – Heilen und Pflegen</t>
        </is>
      </c>
      <c r="F28" s="115" t="inlineStr">
        <is>
          <t>Büro-/Gewerbefläche</t>
        </is>
      </c>
      <c r="G28" s="52" t="n">
        <v>3.5</v>
      </c>
      <c r="H28" s="52" t="n">
        <v>3</v>
      </c>
      <c r="I28" s="99">
        <f>IF(AND(ISNUMBER(G28),ISNUMBER(H28)),G28*H28*IF($I$3="Rohbaumaße",1-$I$4,1),"")</f>
        <v>10.5</v>
      </c>
      <c r="J28" s="54">
        <f>IF(OR(I28="",F28=""),"",IFERROR(VLOOKUP(F28,'Vergleich WoFlV'!$A$6:$C$15,2,FALSE),0))</f>
        <v>1</v>
      </c>
      <c r="K28" s="99">
        <f>IF(J28="","",I28*J28)</f>
        <v>10.5</v>
      </c>
      <c r="L28" s="54">
        <f>IF(OR(I28="",F28=""),"",IFERROR(VLOOKUP(F28,'Vergleich WoFlV'!$A$6:$C$15,3,FALSE),0))</f>
        <v>1</v>
      </c>
      <c r="M28" s="99">
        <f>IF(L28="","",I28*L28)</f>
        <v>10.5</v>
      </c>
      <c r="N28" s="99">
        <f>IF(K28="","",K28-M28)</f>
        <v>0</v>
      </c>
      <c r="O28" s="100">
        <f>IF(OR(K28="",$K$68=0),"",K28/$K$68)</f>
        <v>0.0309078064288237</v>
      </c>
      <c r="P28" s="56" t="str">
        <f>IF(COUNTA(B28:H28)=0,"",IF(OR(B28="",C28="",E28="",F28=""),"Angaben fehlen",IF(N(I28)&lt;=0,"Maße prüfen","OK")))</f>
        <v>OK</v>
      </c>
    </row>
    <row r="29" ht="19" customHeight="1">
      <c r="A29" s="50" t="n">
        <v>22</v>
      </c>
      <c r="B29" s="121" t="inlineStr">
        <is>
          <t>EG</t>
        </is>
      </c>
      <c r="C29" s="115" t="inlineStr">
        <is>
          <t>Gewerbe</t>
        </is>
      </c>
      <c r="D29" s="115" t="inlineStr">
        <is>
          <t>WC</t>
        </is>
      </c>
      <c r="E29" s="115" t="inlineStr">
        <is>
          <t>NUF 7 – Sonstige Nutzungen</t>
        </is>
      </c>
      <c r="F29" s="115" t="inlineStr">
        <is>
          <t>Büro-/Gewerbefläche</t>
        </is>
      </c>
      <c r="G29" s="52" t="n">
        <v>2</v>
      </c>
      <c r="H29" s="52" t="n">
        <v>1.8</v>
      </c>
      <c r="I29" s="99">
        <f>IF(AND(ISNUMBER(G29),ISNUMBER(H29)),G29*H29*IF($I$3="Rohbaumaße",1-$I$4,1),"")</f>
        <v>3.6</v>
      </c>
      <c r="J29" s="54">
        <f>IF(OR(I29="",F29=""),"",IFERROR(VLOOKUP(F29,'Vergleich WoFlV'!$A$6:$C$15,2,FALSE),0))</f>
        <v>1</v>
      </c>
      <c r="K29" s="99">
        <f>IF(J29="","",I29*J29)</f>
        <v>3.6</v>
      </c>
      <c r="L29" s="54">
        <f>IF(OR(I29="",F29=""),"",IFERROR(VLOOKUP(F29,'Vergleich WoFlV'!$A$6:$C$15,3,FALSE),0))</f>
        <v>1</v>
      </c>
      <c r="M29" s="99">
        <f>IF(L29="","",I29*L29)</f>
        <v>3.6</v>
      </c>
      <c r="N29" s="99">
        <f>IF(K29="","",K29-M29)</f>
        <v>0</v>
      </c>
      <c r="O29" s="100">
        <f>IF(OR(K29="",$K$68=0),"",K29/$K$68)</f>
        <v>0.0105969622041681</v>
      </c>
      <c r="P29" s="56" t="str">
        <f>IF(COUNTA(B29:H29)=0,"",IF(OR(B29="",C29="",E29="",F29=""),"Angaben fehlen",IF(N(I29)&lt;=0,"Maße prüfen","OK")))</f>
        <v>OK</v>
      </c>
    </row>
    <row r="30" ht="19" customHeight="1">
      <c r="A30" s="50" t="n">
        <v>23</v>
      </c>
      <c r="B30" s="121" t="inlineStr">
        <is>
          <t>UG</t>
        </is>
      </c>
      <c r="C30" s="115" t="inlineStr">
        <is>
          <t>Keller/Technik</t>
        </is>
      </c>
      <c r="D30" s="115" t="inlineStr">
        <is>
          <t>Kellerabteil</t>
        </is>
      </c>
      <c r="E30" s="115" t="inlineStr">
        <is>
          <t>NUF 7 – Sonstige Nutzungen</t>
        </is>
      </c>
      <c r="F30" s="115" t="inlineStr">
        <is>
          <t>Kellerraum</t>
        </is>
      </c>
      <c r="G30" s="52" t="n">
        <v>3</v>
      </c>
      <c r="H30" s="52" t="n">
        <v>2.5</v>
      </c>
      <c r="I30" s="99">
        <f>IF(AND(ISNUMBER(G30),ISNUMBER(H30)),G30*H30*IF($I$3="Rohbaumaße",1-$I$4,1),"")</f>
        <v>7.5</v>
      </c>
      <c r="J30" s="54">
        <f>IF(OR(I30="",F30=""),"",IFERROR(VLOOKUP(F30,'Vergleich WoFlV'!$A$6:$C$15,2,FALSE),0))</f>
        <v>1</v>
      </c>
      <c r="K30" s="99">
        <f>IF(J30="","",I30*J30)</f>
        <v>7.5</v>
      </c>
      <c r="L30" s="54">
        <f>IF(OR(I30="",F30=""),"",IFERROR(VLOOKUP(F30,'Vergleich WoFlV'!$A$6:$C$15,3,FALSE),0))</f>
        <v>0</v>
      </c>
      <c r="M30" s="99">
        <f>IF(L30="","",I30*L30)</f>
        <v>0</v>
      </c>
      <c r="N30" s="99">
        <f>IF(K30="","",K30-M30)</f>
        <v>7.5</v>
      </c>
      <c r="O30" s="100">
        <f>IF(OR(K30="",$K$68=0),"",K30/$K$68)</f>
        <v>0.022077004592017</v>
      </c>
      <c r="P30" s="56" t="str">
        <f>IF(COUNTA(B30:H30)=0,"",IF(OR(B30="",C30="",E30="",F30=""),"Angaben fehlen",IF(N(I30)&lt;=0,"Maße prüfen","OK")))</f>
        <v>OK</v>
      </c>
    </row>
    <row r="31" ht="19" customHeight="1">
      <c r="A31" s="50" t="n">
        <v>24</v>
      </c>
      <c r="B31" s="121" t="inlineStr">
        <is>
          <t>UG</t>
        </is>
      </c>
      <c r="C31" s="115" t="inlineStr">
        <is>
          <t>Keller/Technik</t>
        </is>
      </c>
      <c r="D31" s="115" t="inlineStr">
        <is>
          <t>Müllsammelraum</t>
        </is>
      </c>
      <c r="E31" s="115" t="inlineStr">
        <is>
          <t>NUF 7 – Sonstige Nutzungen</t>
        </is>
      </c>
      <c r="F31" s="115" t="inlineStr">
        <is>
          <t>Kellerraum</t>
        </is>
      </c>
      <c r="G31" s="52" t="n">
        <v>2.5</v>
      </c>
      <c r="H31" s="52" t="n">
        <v>2</v>
      </c>
      <c r="I31" s="99">
        <f>IF(AND(ISNUMBER(G31),ISNUMBER(H31)),G31*H31*IF($I$3="Rohbaumaße",1-$I$4,1),"")</f>
        <v>5</v>
      </c>
      <c r="J31" s="54">
        <f>IF(OR(I31="",F31=""),"",IFERROR(VLOOKUP(F31,'Vergleich WoFlV'!$A$6:$C$15,2,FALSE),0))</f>
        <v>1</v>
      </c>
      <c r="K31" s="99">
        <f>IF(J31="","",I31*J31)</f>
        <v>5</v>
      </c>
      <c r="L31" s="54">
        <f>IF(OR(I31="",F31=""),"",IFERROR(VLOOKUP(F31,'Vergleich WoFlV'!$A$6:$C$15,3,FALSE),0))</f>
        <v>0</v>
      </c>
      <c r="M31" s="99">
        <f>IF(L31="","",I31*L31)</f>
        <v>0</v>
      </c>
      <c r="N31" s="99">
        <f>IF(K31="","",K31-M31)</f>
        <v>5</v>
      </c>
      <c r="O31" s="100">
        <f>IF(OR(K31="",$K$68=0),"",K31/$K$68)</f>
        <v>0.0147180030613446</v>
      </c>
      <c r="P31" s="56" t="str">
        <f>IF(COUNTA(B31:H31)=0,"",IF(OR(B31="",C31="",E31="",F31=""),"Angaben fehlen",IF(N(I31)&lt;=0,"Maße prüfen","OK")))</f>
        <v>OK</v>
      </c>
    </row>
    <row r="32" ht="19" customHeight="1">
      <c r="A32" s="50" t="n">
        <v>25</v>
      </c>
      <c r="B32" s="121" t="inlineStr">
        <is>
          <t>UG</t>
        </is>
      </c>
      <c r="C32" s="115" t="inlineStr">
        <is>
          <t>Keller/Technik</t>
        </is>
      </c>
      <c r="D32" s="115" t="inlineStr">
        <is>
          <t>Heizungsraum</t>
        </is>
      </c>
      <c r="E32" s="115" t="inlineStr">
        <is>
          <t>TF – Technikfläche</t>
        </is>
      </c>
      <c r="F32" s="115" t="inlineStr">
        <is>
          <t>Technikfläche</t>
        </is>
      </c>
      <c r="G32" s="52" t="n">
        <v>3.2</v>
      </c>
      <c r="H32" s="52" t="n">
        <v>2.8</v>
      </c>
      <c r="I32" s="99">
        <f>IF(AND(ISNUMBER(G32),ISNUMBER(H32)),G32*H32*IF($I$3="Rohbaumaße",1-$I$4,1),"")</f>
        <v>8.96</v>
      </c>
      <c r="J32" s="54">
        <f>IF(OR(I32="",F32=""),"",IFERROR(VLOOKUP(F32,'Vergleich WoFlV'!$A$6:$C$15,2,FALSE),0))</f>
        <v>1</v>
      </c>
      <c r="K32" s="99">
        <f>IF(J32="","",I32*J32)</f>
        <v>8.96</v>
      </c>
      <c r="L32" s="54">
        <f>IF(OR(I32="",F32=""),"",IFERROR(VLOOKUP(F32,'Vergleich WoFlV'!$A$6:$C$15,3,FALSE),0))</f>
        <v>0</v>
      </c>
      <c r="M32" s="99">
        <f>IF(L32="","",I32*L32)</f>
        <v>0</v>
      </c>
      <c r="N32" s="99">
        <f>IF(K32="","",K32-M32)</f>
        <v>8.96</v>
      </c>
      <c r="O32" s="100">
        <f>IF(OR(K32="",$K$68=0),"",K32/$K$68)</f>
        <v>0.0263746614859296</v>
      </c>
      <c r="P32" s="56" t="str">
        <f>IF(COUNTA(B32:H32)=0,"",IF(OR(B32="",C32="",E32="",F32=""),"Angaben fehlen",IF(N(I32)&lt;=0,"Maße prüfen","OK")))</f>
        <v>OK</v>
      </c>
    </row>
    <row r="33" ht="19" customHeight="1">
      <c r="A33" s="50" t="n">
        <v>26</v>
      </c>
      <c r="B33" s="121" t="inlineStr">
        <is>
          <t>UG</t>
        </is>
      </c>
      <c r="C33" s="115" t="inlineStr">
        <is>
          <t>Keller/Technik</t>
        </is>
      </c>
      <c r="D33" s="115" t="inlineStr">
        <is>
          <t>Lüftung/Elektro</t>
        </is>
      </c>
      <c r="E33" s="115" t="inlineStr">
        <is>
          <t>TF – Technikfläche</t>
        </is>
      </c>
      <c r="F33" s="115" t="inlineStr">
        <is>
          <t>Technikfläche</t>
        </is>
      </c>
      <c r="G33" s="52" t="n">
        <v>2.5</v>
      </c>
      <c r="H33" s="52" t="n">
        <v>2</v>
      </c>
      <c r="I33" s="99">
        <f>IF(AND(ISNUMBER(G33),ISNUMBER(H33)),G33*H33*IF($I$3="Rohbaumaße",1-$I$4,1),"")</f>
        <v>5</v>
      </c>
      <c r="J33" s="54">
        <f>IF(OR(I33="",F33=""),"",IFERROR(VLOOKUP(F33,'Vergleich WoFlV'!$A$6:$C$15,2,FALSE),0))</f>
        <v>1</v>
      </c>
      <c r="K33" s="99">
        <f>IF(J33="","",I33*J33)</f>
        <v>5</v>
      </c>
      <c r="L33" s="54">
        <f>IF(OR(I33="",F33=""),"",IFERROR(VLOOKUP(F33,'Vergleich WoFlV'!$A$6:$C$15,3,FALSE),0))</f>
        <v>0</v>
      </c>
      <c r="M33" s="99">
        <f>IF(L33="","",I33*L33)</f>
        <v>0</v>
      </c>
      <c r="N33" s="99">
        <f>IF(K33="","",K33-M33)</f>
        <v>5</v>
      </c>
      <c r="O33" s="100">
        <f>IF(OR(K33="",$K$68=0),"",K33/$K$68)</f>
        <v>0.0147180030613446</v>
      </c>
      <c r="P33" s="56" t="str">
        <f>IF(COUNTA(B33:H33)=0,"",IF(OR(B33="",C33="",E33="",F33=""),"Angaben fehlen",IF(N(I33)&lt;=0,"Maße prüfen","OK")))</f>
        <v>OK</v>
      </c>
    </row>
    <row r="34" ht="19" customHeight="1">
      <c r="A34" s="50" t="n">
        <v>27</v>
      </c>
      <c r="B34" s="121" t="inlineStr">
        <is>
          <t>UG</t>
        </is>
      </c>
      <c r="C34" s="115" t="inlineStr">
        <is>
          <t>Allgemeinflächen</t>
        </is>
      </c>
      <c r="D34" s="115" t="inlineStr">
        <is>
          <t>Treppenhaus</t>
        </is>
      </c>
      <c r="E34" s="115" t="inlineStr">
        <is>
          <t>VF – Verkehrsfläche</t>
        </is>
      </c>
      <c r="F34" s="115" t="inlineStr">
        <is>
          <t>Verkehrsfläche Gemeinschaft</t>
        </is>
      </c>
      <c r="G34" s="52" t="n">
        <v>3</v>
      </c>
      <c r="H34" s="52" t="n">
        <v>2.6</v>
      </c>
      <c r="I34" s="99">
        <f>IF(AND(ISNUMBER(G34),ISNUMBER(H34)),G34*H34*IF($I$3="Rohbaumaße",1-$I$4,1),"")</f>
        <v>7.8</v>
      </c>
      <c r="J34" s="54">
        <f>IF(OR(I34="",F34=""),"",IFERROR(VLOOKUP(F34,'Vergleich WoFlV'!$A$6:$C$15,2,FALSE),0))</f>
        <v>1</v>
      </c>
      <c r="K34" s="99">
        <f>IF(J34="","",I34*J34)</f>
        <v>7.8</v>
      </c>
      <c r="L34" s="54">
        <f>IF(OR(I34="",F34=""),"",IFERROR(VLOOKUP(F34,'Vergleich WoFlV'!$A$6:$C$15,3,FALSE),0))</f>
        <v>0</v>
      </c>
      <c r="M34" s="99">
        <f>IF(L34="","",I34*L34)</f>
        <v>0</v>
      </c>
      <c r="N34" s="99">
        <f>IF(K34="","",K34-M34)</f>
        <v>7.8</v>
      </c>
      <c r="O34" s="100">
        <f>IF(OR(K34="",$K$68=0),"",K34/$K$68)</f>
        <v>0.0229600847756976</v>
      </c>
      <c r="P34" s="56" t="str">
        <f>IF(COUNTA(B34:H34)=0,"",IF(OR(B34="",C34="",E34="",F34=""),"Angaben fehlen",IF(N(I34)&lt;=0,"Maße prüfen","OK")))</f>
        <v>OK</v>
      </c>
    </row>
    <row r="35" ht="19" customHeight="1">
      <c r="A35" s="50" t="n">
        <v>28</v>
      </c>
      <c r="B35" s="121" t="inlineStr">
        <is>
          <t>EG</t>
        </is>
      </c>
      <c r="C35" s="115" t="inlineStr">
        <is>
          <t>Allgemeinflächen</t>
        </is>
      </c>
      <c r="D35" s="115" t="inlineStr">
        <is>
          <t>Treppenhaus</t>
        </is>
      </c>
      <c r="E35" s="115" t="inlineStr">
        <is>
          <t>VF – Verkehrsfläche</t>
        </is>
      </c>
      <c r="F35" s="115" t="inlineStr">
        <is>
          <t>Verkehrsfläche Gemeinschaft</t>
        </is>
      </c>
      <c r="G35" s="52" t="n">
        <v>3</v>
      </c>
      <c r="H35" s="52" t="n">
        <v>2.6</v>
      </c>
      <c r="I35" s="99">
        <f>IF(AND(ISNUMBER(G35),ISNUMBER(H35)),G35*H35*IF($I$3="Rohbaumaße",1-$I$4,1),"")</f>
        <v>7.8</v>
      </c>
      <c r="J35" s="54">
        <f>IF(OR(I35="",F35=""),"",IFERROR(VLOOKUP(F35,'Vergleich WoFlV'!$A$6:$C$15,2,FALSE),0))</f>
        <v>1</v>
      </c>
      <c r="K35" s="99">
        <f>IF(J35="","",I35*J35)</f>
        <v>7.8</v>
      </c>
      <c r="L35" s="54">
        <f>IF(OR(I35="",F35=""),"",IFERROR(VLOOKUP(F35,'Vergleich WoFlV'!$A$6:$C$15,3,FALSE),0))</f>
        <v>0</v>
      </c>
      <c r="M35" s="99">
        <f>IF(L35="","",I35*L35)</f>
        <v>0</v>
      </c>
      <c r="N35" s="99">
        <f>IF(K35="","",K35-M35)</f>
        <v>7.8</v>
      </c>
      <c r="O35" s="100">
        <f>IF(OR(K35="",$K$68=0),"",K35/$K$68)</f>
        <v>0.0229600847756976</v>
      </c>
      <c r="P35" s="56" t="str">
        <f>IF(COUNTA(B35:H35)=0,"",IF(OR(B35="",C35="",E35="",F35=""),"Angaben fehlen",IF(N(I35)&lt;=0,"Maße prüfen","OK")))</f>
        <v>OK</v>
      </c>
    </row>
    <row r="36" ht="19" customHeight="1">
      <c r="A36" s="50" t="n">
        <v>29</v>
      </c>
      <c r="B36" s="121" t="inlineStr">
        <is>
          <t>1. OG</t>
        </is>
      </c>
      <c r="C36" s="115" t="inlineStr">
        <is>
          <t>Allgemeinflächen</t>
        </is>
      </c>
      <c r="D36" s="115" t="inlineStr">
        <is>
          <t>Treppenhaus</t>
        </is>
      </c>
      <c r="E36" s="115" t="inlineStr">
        <is>
          <t>VF – Verkehrsfläche</t>
        </is>
      </c>
      <c r="F36" s="115" t="inlineStr">
        <is>
          <t>Verkehrsfläche Gemeinschaft</t>
        </is>
      </c>
      <c r="G36" s="52" t="n">
        <v>3</v>
      </c>
      <c r="H36" s="52" t="n">
        <v>2.6</v>
      </c>
      <c r="I36" s="99">
        <f>IF(AND(ISNUMBER(G36),ISNUMBER(H36)),G36*H36*IF($I$3="Rohbaumaße",1-$I$4,1),"")</f>
        <v>7.8</v>
      </c>
      <c r="J36" s="54">
        <f>IF(OR(I36="",F36=""),"",IFERROR(VLOOKUP(F36,'Vergleich WoFlV'!$A$6:$C$15,2,FALSE),0))</f>
        <v>1</v>
      </c>
      <c r="K36" s="99">
        <f>IF(J36="","",I36*J36)</f>
        <v>7.8</v>
      </c>
      <c r="L36" s="54">
        <f>IF(OR(I36="",F36=""),"",IFERROR(VLOOKUP(F36,'Vergleich WoFlV'!$A$6:$C$15,3,FALSE),0))</f>
        <v>0</v>
      </c>
      <c r="M36" s="99">
        <f>IF(L36="","",I36*L36)</f>
        <v>0</v>
      </c>
      <c r="N36" s="99">
        <f>IF(K36="","",K36-M36)</f>
        <v>7.8</v>
      </c>
      <c r="O36" s="100">
        <f>IF(OR(K36="",$K$68=0),"",K36/$K$68)</f>
        <v>0.0229600847756976</v>
      </c>
      <c r="P36" s="56" t="str">
        <f>IF(COUNTA(B36:H36)=0,"",IF(OR(B36="",C36="",E36="",F36=""),"Angaben fehlen",IF(N(I36)&lt;=0,"Maße prüfen","OK")))</f>
        <v>OK</v>
      </c>
    </row>
    <row r="37" ht="19" customHeight="1">
      <c r="A37" s="50" t="n">
        <v>30</v>
      </c>
      <c r="B37" s="121" t="inlineStr">
        <is>
          <t>DG</t>
        </is>
      </c>
      <c r="C37" s="115" t="inlineStr">
        <is>
          <t>Allgemeinflächen</t>
        </is>
      </c>
      <c r="D37" s="115" t="inlineStr">
        <is>
          <t>Treppenhaus</t>
        </is>
      </c>
      <c r="E37" s="115" t="inlineStr">
        <is>
          <t>VF – Verkehrsfläche</t>
        </is>
      </c>
      <c r="F37" s="115" t="inlineStr">
        <is>
          <t>Verkehrsfläche Gemeinschaft</t>
        </is>
      </c>
      <c r="G37" s="52" t="n">
        <v>3</v>
      </c>
      <c r="H37" s="52" t="n">
        <v>2.6</v>
      </c>
      <c r="I37" s="99">
        <f>IF(AND(ISNUMBER(G37),ISNUMBER(H37)),G37*H37*IF($I$3="Rohbaumaße",1-$I$4,1),"")</f>
        <v>7.8</v>
      </c>
      <c r="J37" s="54">
        <f>IF(OR(I37="",F37=""),"",IFERROR(VLOOKUP(F37,'Vergleich WoFlV'!$A$6:$C$15,2,FALSE),0))</f>
        <v>1</v>
      </c>
      <c r="K37" s="99">
        <f>IF(J37="","",I37*J37)</f>
        <v>7.8</v>
      </c>
      <c r="L37" s="54">
        <f>IF(OR(I37="",F37=""),"",IFERROR(VLOOKUP(F37,'Vergleich WoFlV'!$A$6:$C$15,3,FALSE),0))</f>
        <v>0</v>
      </c>
      <c r="M37" s="99">
        <f>IF(L37="","",I37*L37)</f>
        <v>0</v>
      </c>
      <c r="N37" s="99">
        <f>IF(K37="","",K37-M37)</f>
        <v>7.8</v>
      </c>
      <c r="O37" s="100">
        <f>IF(OR(K37="",$K$68=0),"",K37/$K$68)</f>
        <v>0.0229600847756976</v>
      </c>
      <c r="P37" s="56" t="str">
        <f>IF(COUNTA(B37:H37)=0,"",IF(OR(B37="",C37="",E37="",F37=""),"Angaben fehlen",IF(N(I37)&lt;=0,"Maße prüfen","OK")))</f>
        <v>OK</v>
      </c>
    </row>
    <row r="38" ht="19" customHeight="1">
      <c r="A38" s="50" t="n">
        <v>31</v>
      </c>
      <c r="B38" s="121" t="inlineStr">
        <is>
          <t>EG</t>
        </is>
      </c>
      <c r="C38" s="115" t="inlineStr">
        <is>
          <t>Allgemeinflächen</t>
        </is>
      </c>
      <c r="D38" s="115" t="inlineStr">
        <is>
          <t>Eingang/Flur</t>
        </is>
      </c>
      <c r="E38" s="115" t="inlineStr">
        <is>
          <t>VF – Verkehrsfläche</t>
        </is>
      </c>
      <c r="F38" s="115" t="inlineStr">
        <is>
          <t>Verkehrsfläche Gemeinschaft</t>
        </is>
      </c>
      <c r="G38" s="52" t="n">
        <v>4</v>
      </c>
      <c r="H38" s="52" t="n">
        <v>2</v>
      </c>
      <c r="I38" s="99">
        <f>IF(AND(ISNUMBER(G38),ISNUMBER(H38)),G38*H38*IF($I$3="Rohbaumaße",1-$I$4,1),"")</f>
        <v>8</v>
      </c>
      <c r="J38" s="54">
        <f>IF(OR(I38="",F38=""),"",IFERROR(VLOOKUP(F38,'Vergleich WoFlV'!$A$6:$C$15,2,FALSE),0))</f>
        <v>1</v>
      </c>
      <c r="K38" s="99">
        <f>IF(J38="","",I38*J38)</f>
        <v>8</v>
      </c>
      <c r="L38" s="54">
        <f>IF(OR(I38="",F38=""),"",IFERROR(VLOOKUP(F38,'Vergleich WoFlV'!$A$6:$C$15,3,FALSE),0))</f>
        <v>0</v>
      </c>
      <c r="M38" s="99">
        <f>IF(L38="","",I38*L38)</f>
        <v>0</v>
      </c>
      <c r="N38" s="99">
        <f>IF(K38="","",K38-M38)</f>
        <v>8</v>
      </c>
      <c r="O38" s="100">
        <f>IF(OR(K38="",$K$68=0),"",K38/$K$68)</f>
        <v>0.0235488048981514</v>
      </c>
      <c r="P38" s="56" t="str">
        <f>IF(COUNTA(B38:H38)=0,"",IF(OR(B38="",C38="",E38="",F38=""),"Angaben fehlen",IF(N(I38)&lt;=0,"Maße prüfen","OK")))</f>
        <v>OK</v>
      </c>
    </row>
    <row r="39" ht="19" customHeight="1">
      <c r="A39" s="50" t="n">
        <v>32</v>
      </c>
      <c r="B39" s="121" t="inlineStr">
        <is>
          <t>EG</t>
        </is>
      </c>
      <c r="C39" s="115" t="inlineStr">
        <is>
          <t>Allgemeinflächen</t>
        </is>
      </c>
      <c r="D39" s="115" t="inlineStr">
        <is>
          <t>Aufzug</t>
        </is>
      </c>
      <c r="E39" s="115" t="inlineStr">
        <is>
          <t>VF – Verkehrsfläche</t>
        </is>
      </c>
      <c r="F39" s="115" t="inlineStr">
        <is>
          <t>Verkehrsfläche Gemeinschaft</t>
        </is>
      </c>
      <c r="G39" s="52" t="n">
        <v>1.5</v>
      </c>
      <c r="H39" s="52" t="n">
        <v>1.6</v>
      </c>
      <c r="I39" s="99">
        <f>IF(AND(ISNUMBER(G39),ISNUMBER(H39)),G39*H39*IF($I$3="Rohbaumaße",1-$I$4,1),"")</f>
        <v>2.4</v>
      </c>
      <c r="J39" s="54">
        <f>IF(OR(I39="",F39=""),"",IFERROR(VLOOKUP(F39,'Vergleich WoFlV'!$A$6:$C$15,2,FALSE),0))</f>
        <v>1</v>
      </c>
      <c r="K39" s="99">
        <f>IF(J39="","",I39*J39)</f>
        <v>2.4</v>
      </c>
      <c r="L39" s="54">
        <f>IF(OR(I39="",F39=""),"",IFERROR(VLOOKUP(F39,'Vergleich WoFlV'!$A$6:$C$15,3,FALSE),0))</f>
        <v>0</v>
      </c>
      <c r="M39" s="99">
        <f>IF(L39="","",I39*L39)</f>
        <v>0</v>
      </c>
      <c r="N39" s="99">
        <f>IF(K39="","",K39-M39)</f>
        <v>2.4</v>
      </c>
      <c r="O39" s="100">
        <f>IF(OR(K39="",$K$68=0),"",K39/$K$68)</f>
        <v>0.00706464146944543</v>
      </c>
      <c r="P39" s="56" t="str">
        <f>IF(COUNTA(B39:H39)=0,"",IF(OR(B39="",C39="",E39="",F39=""),"Angaben fehlen",IF(N(I39)&lt;=0,"Maße prüfen","OK")))</f>
        <v>OK</v>
      </c>
    </row>
    <row r="40" ht="19" customHeight="1">
      <c r="A40" s="50" t="n">
        <v>33</v>
      </c>
      <c r="B40" s="121" t="n"/>
      <c r="C40" s="115" t="n"/>
      <c r="D40" s="115" t="n"/>
      <c r="E40" s="115" t="n"/>
      <c r="F40" s="115" t="n"/>
      <c r="G40" s="52" t="n"/>
      <c r="H40" s="52" t="n"/>
      <c r="I40" s="99" t="str">
        <f>IF(AND(ISNUMBER(G40),ISNUMBER(H40)),G40*H40*IF($I$3="Rohbaumaße",1-$I$4,1),"")</f>
        <v/>
      </c>
      <c r="J40" s="54" t="str">
        <f>IF(OR(I40="",F40=""),"",IFERROR(VLOOKUP(F40,'Vergleich WoFlV'!$A$6:$C$15,2,FALSE),0))</f>
        <v/>
      </c>
      <c r="K40" s="99" t="str">
        <f>IF(J40="","",I40*J40)</f>
        <v/>
      </c>
      <c r="L40" s="54" t="str">
        <f>IF(OR(I40="",F40=""),"",IFERROR(VLOOKUP(F40,'Vergleich WoFlV'!$A$6:$C$15,3,FALSE),0))</f>
        <v/>
      </c>
      <c r="M40" s="99" t="str">
        <f>IF(L40="","",I40*L40)</f>
        <v/>
      </c>
      <c r="N40" s="99" t="str">
        <f>IF(K40="","",K40-M40)</f>
        <v/>
      </c>
      <c r="O40" s="100" t="str">
        <f>IF(OR(K40="",$K$68=0),"",K40/$K$68)</f>
        <v/>
      </c>
      <c r="P40" s="56" t="str">
        <f>IF(COUNTA(B40:H40)=0,"",IF(OR(B40="",C40="",E40="",F40=""),"Angaben fehlen",IF(N(I40)&lt;=0,"Maße prüfen","OK")))</f>
        <v/>
      </c>
    </row>
    <row r="41" ht="19" customHeight="1">
      <c r="A41" s="50" t="n">
        <v>34</v>
      </c>
      <c r="B41" s="121" t="n"/>
      <c r="C41" s="115" t="n"/>
      <c r="D41" s="115" t="n"/>
      <c r="E41" s="115" t="n"/>
      <c r="F41" s="115" t="n"/>
      <c r="G41" s="52" t="n"/>
      <c r="H41" s="52" t="n"/>
      <c r="I41" s="99" t="str">
        <f>IF(AND(ISNUMBER(G41),ISNUMBER(H41)),G41*H41*IF($I$3="Rohbaumaße",1-$I$4,1),"")</f>
        <v/>
      </c>
      <c r="J41" s="54" t="str">
        <f>IF(OR(I41="",F41=""),"",IFERROR(VLOOKUP(F41,'Vergleich WoFlV'!$A$6:$C$15,2,FALSE),0))</f>
        <v/>
      </c>
      <c r="K41" s="99" t="str">
        <f>IF(J41="","",I41*J41)</f>
        <v/>
      </c>
      <c r="L41" s="54" t="str">
        <f>IF(OR(I41="",F41=""),"",IFERROR(VLOOKUP(F41,'Vergleich WoFlV'!$A$6:$C$15,3,FALSE),0))</f>
        <v/>
      </c>
      <c r="M41" s="99" t="str">
        <f>IF(L41="","",I41*L41)</f>
        <v/>
      </c>
      <c r="N41" s="99" t="str">
        <f>IF(K41="","",K41-M41)</f>
        <v/>
      </c>
      <c r="O41" s="100" t="str">
        <f>IF(OR(K41="",$K$68=0),"",K41/$K$68)</f>
        <v/>
      </c>
      <c r="P41" s="56" t="str">
        <f>IF(COUNTA(B41:H41)=0,"",IF(OR(B41="",C41="",E41="",F41=""),"Angaben fehlen",IF(N(I41)&lt;=0,"Maße prüfen","OK")))</f>
        <v/>
      </c>
    </row>
    <row r="42" ht="19" customHeight="1">
      <c r="A42" s="50" t="n">
        <v>35</v>
      </c>
      <c r="B42" s="121" t="n"/>
      <c r="C42" s="115" t="n"/>
      <c r="D42" s="115" t="n"/>
      <c r="E42" s="115" t="n"/>
      <c r="F42" s="115" t="n"/>
      <c r="G42" s="52" t="n"/>
      <c r="H42" s="52" t="n"/>
      <c r="I42" s="99" t="str">
        <f>IF(AND(ISNUMBER(G42),ISNUMBER(H42)),G42*H42*IF($I$3="Rohbaumaße",1-$I$4,1),"")</f>
        <v/>
      </c>
      <c r="J42" s="54" t="str">
        <f>IF(OR(I42="",F42=""),"",IFERROR(VLOOKUP(F42,'Vergleich WoFlV'!$A$6:$C$15,2,FALSE),0))</f>
        <v/>
      </c>
      <c r="K42" s="99" t="str">
        <f>IF(J42="","",I42*J42)</f>
        <v/>
      </c>
      <c r="L42" s="54" t="str">
        <f>IF(OR(I42="",F42=""),"",IFERROR(VLOOKUP(F42,'Vergleich WoFlV'!$A$6:$C$15,3,FALSE),0))</f>
        <v/>
      </c>
      <c r="M42" s="99" t="str">
        <f>IF(L42="","",I42*L42)</f>
        <v/>
      </c>
      <c r="N42" s="99" t="str">
        <f>IF(K42="","",K42-M42)</f>
        <v/>
      </c>
      <c r="O42" s="100" t="str">
        <f>IF(OR(K42="",$K$68=0),"",K42/$K$68)</f>
        <v/>
      </c>
      <c r="P42" s="56" t="str">
        <f>IF(COUNTA(B42:H42)=0,"",IF(OR(B42="",C42="",E42="",F42=""),"Angaben fehlen",IF(N(I42)&lt;=0,"Maße prüfen","OK")))</f>
        <v/>
      </c>
    </row>
    <row r="43" ht="19" customHeight="1">
      <c r="A43" s="50" t="n">
        <v>36</v>
      </c>
      <c r="B43" s="121" t="n"/>
      <c r="C43" s="115" t="n"/>
      <c r="D43" s="115" t="n"/>
      <c r="E43" s="115" t="n"/>
      <c r="F43" s="115" t="n"/>
      <c r="G43" s="52" t="n"/>
      <c r="H43" s="52" t="n"/>
      <c r="I43" s="99" t="str">
        <f>IF(AND(ISNUMBER(G43),ISNUMBER(H43)),G43*H43*IF($I$3="Rohbaumaße",1-$I$4,1),"")</f>
        <v/>
      </c>
      <c r="J43" s="54" t="str">
        <f>IF(OR(I43="",F43=""),"",IFERROR(VLOOKUP(F43,'Vergleich WoFlV'!$A$6:$C$15,2,FALSE),0))</f>
        <v/>
      </c>
      <c r="K43" s="99" t="str">
        <f>IF(J43="","",I43*J43)</f>
        <v/>
      </c>
      <c r="L43" s="54" t="str">
        <f>IF(OR(I43="",F43=""),"",IFERROR(VLOOKUP(F43,'Vergleich WoFlV'!$A$6:$C$15,3,FALSE),0))</f>
        <v/>
      </c>
      <c r="M43" s="99" t="str">
        <f>IF(L43="","",I43*L43)</f>
        <v/>
      </c>
      <c r="N43" s="99" t="str">
        <f>IF(K43="","",K43-M43)</f>
        <v/>
      </c>
      <c r="O43" s="100" t="str">
        <f>IF(OR(K43="",$K$68=0),"",K43/$K$68)</f>
        <v/>
      </c>
      <c r="P43" s="56" t="str">
        <f>IF(COUNTA(B43:H43)=0,"",IF(OR(B43="",C43="",E43="",F43=""),"Angaben fehlen",IF(N(I43)&lt;=0,"Maße prüfen","OK")))</f>
        <v/>
      </c>
    </row>
    <row r="44" ht="19" customHeight="1">
      <c r="A44" s="50" t="n">
        <v>37</v>
      </c>
      <c r="B44" s="121" t="n"/>
      <c r="C44" s="115" t="n"/>
      <c r="D44" s="115" t="n"/>
      <c r="E44" s="115" t="n"/>
      <c r="F44" s="115" t="n"/>
      <c r="G44" s="52" t="n"/>
      <c r="H44" s="52" t="n"/>
      <c r="I44" s="99" t="str">
        <f>IF(AND(ISNUMBER(G44),ISNUMBER(H44)),G44*H44*IF($I$3="Rohbaumaße",1-$I$4,1),"")</f>
        <v/>
      </c>
      <c r="J44" s="54" t="str">
        <f>IF(OR(I44="",F44=""),"",IFERROR(VLOOKUP(F44,'Vergleich WoFlV'!$A$6:$C$15,2,FALSE),0))</f>
        <v/>
      </c>
      <c r="K44" s="99" t="str">
        <f>IF(J44="","",I44*J44)</f>
        <v/>
      </c>
      <c r="L44" s="54" t="str">
        <f>IF(OR(I44="",F44=""),"",IFERROR(VLOOKUP(F44,'Vergleich WoFlV'!$A$6:$C$15,3,FALSE),0))</f>
        <v/>
      </c>
      <c r="M44" s="99" t="str">
        <f>IF(L44="","",I44*L44)</f>
        <v/>
      </c>
      <c r="N44" s="99" t="str">
        <f>IF(K44="","",K44-M44)</f>
        <v/>
      </c>
      <c r="O44" s="100" t="str">
        <f>IF(OR(K44="",$K$68=0),"",K44/$K$68)</f>
        <v/>
      </c>
      <c r="P44" s="56" t="str">
        <f>IF(COUNTA(B44:H44)=0,"",IF(OR(B44="",C44="",E44="",F44=""),"Angaben fehlen",IF(N(I44)&lt;=0,"Maße prüfen","OK")))</f>
        <v/>
      </c>
    </row>
    <row r="45" ht="19" customHeight="1">
      <c r="A45" s="50" t="n">
        <v>38</v>
      </c>
      <c r="B45" s="121" t="n"/>
      <c r="C45" s="115" t="n"/>
      <c r="D45" s="115" t="n"/>
      <c r="E45" s="115" t="n"/>
      <c r="F45" s="115" t="n"/>
      <c r="G45" s="52" t="n"/>
      <c r="H45" s="52" t="n"/>
      <c r="I45" s="99" t="str">
        <f>IF(AND(ISNUMBER(G45),ISNUMBER(H45)),G45*H45*IF($I$3="Rohbaumaße",1-$I$4,1),"")</f>
        <v/>
      </c>
      <c r="J45" s="54" t="str">
        <f>IF(OR(I45="",F45=""),"",IFERROR(VLOOKUP(F45,'Vergleich WoFlV'!$A$6:$C$15,2,FALSE),0))</f>
        <v/>
      </c>
      <c r="K45" s="99" t="str">
        <f>IF(J45="","",I45*J45)</f>
        <v/>
      </c>
      <c r="L45" s="54" t="str">
        <f>IF(OR(I45="",F45=""),"",IFERROR(VLOOKUP(F45,'Vergleich WoFlV'!$A$6:$C$15,3,FALSE),0))</f>
        <v/>
      </c>
      <c r="M45" s="99" t="str">
        <f>IF(L45="","",I45*L45)</f>
        <v/>
      </c>
      <c r="N45" s="99" t="str">
        <f>IF(K45="","",K45-M45)</f>
        <v/>
      </c>
      <c r="O45" s="100" t="str">
        <f>IF(OR(K45="",$K$68=0),"",K45/$K$68)</f>
        <v/>
      </c>
      <c r="P45" s="56" t="str">
        <f>IF(COUNTA(B45:H45)=0,"",IF(OR(B45="",C45="",E45="",F45=""),"Angaben fehlen",IF(N(I45)&lt;=0,"Maße prüfen","OK")))</f>
        <v/>
      </c>
    </row>
    <row r="46" ht="19" customHeight="1">
      <c r="A46" s="50" t="n">
        <v>39</v>
      </c>
      <c r="B46" s="121" t="n"/>
      <c r="C46" s="115" t="n"/>
      <c r="D46" s="115" t="n"/>
      <c r="E46" s="115" t="n"/>
      <c r="F46" s="115" t="n"/>
      <c r="G46" s="52" t="n"/>
      <c r="H46" s="52" t="n"/>
      <c r="I46" s="99" t="str">
        <f>IF(AND(ISNUMBER(G46),ISNUMBER(H46)),G46*H46*IF($I$3="Rohbaumaße",1-$I$4,1),"")</f>
        <v/>
      </c>
      <c r="J46" s="54" t="str">
        <f>IF(OR(I46="",F46=""),"",IFERROR(VLOOKUP(F46,'Vergleich WoFlV'!$A$6:$C$15,2,FALSE),0))</f>
        <v/>
      </c>
      <c r="K46" s="99" t="str">
        <f>IF(J46="","",I46*J46)</f>
        <v/>
      </c>
      <c r="L46" s="54" t="str">
        <f>IF(OR(I46="",F46=""),"",IFERROR(VLOOKUP(F46,'Vergleich WoFlV'!$A$6:$C$15,3,FALSE),0))</f>
        <v/>
      </c>
      <c r="M46" s="99" t="str">
        <f>IF(L46="","",I46*L46)</f>
        <v/>
      </c>
      <c r="N46" s="99" t="str">
        <f>IF(K46="","",K46-M46)</f>
        <v/>
      </c>
      <c r="O46" s="100" t="str">
        <f>IF(OR(K46="",$K$68=0),"",K46/$K$68)</f>
        <v/>
      </c>
      <c r="P46" s="56" t="str">
        <f>IF(COUNTA(B46:H46)=0,"",IF(OR(B46="",C46="",E46="",F46=""),"Angaben fehlen",IF(N(I46)&lt;=0,"Maße prüfen","OK")))</f>
        <v/>
      </c>
    </row>
    <row r="47" ht="19" customHeight="1">
      <c r="A47" s="50" t="n">
        <v>40</v>
      </c>
      <c r="B47" s="121" t="n"/>
      <c r="C47" s="115" t="n"/>
      <c r="D47" s="115" t="n"/>
      <c r="E47" s="115" t="n"/>
      <c r="F47" s="115" t="n"/>
      <c r="G47" s="52" t="n"/>
      <c r="H47" s="52" t="n"/>
      <c r="I47" s="99" t="str">
        <f>IF(AND(ISNUMBER(G47),ISNUMBER(H47)),G47*H47*IF($I$3="Rohbaumaße",1-$I$4,1),"")</f>
        <v/>
      </c>
      <c r="J47" s="54" t="str">
        <f>IF(OR(I47="",F47=""),"",IFERROR(VLOOKUP(F47,'Vergleich WoFlV'!$A$6:$C$15,2,FALSE),0))</f>
        <v/>
      </c>
      <c r="K47" s="99" t="str">
        <f>IF(J47="","",I47*J47)</f>
        <v/>
      </c>
      <c r="L47" s="54" t="str">
        <f>IF(OR(I47="",F47=""),"",IFERROR(VLOOKUP(F47,'Vergleich WoFlV'!$A$6:$C$15,3,FALSE),0))</f>
        <v/>
      </c>
      <c r="M47" s="99" t="str">
        <f>IF(L47="","",I47*L47)</f>
        <v/>
      </c>
      <c r="N47" s="99" t="str">
        <f>IF(K47="","",K47-M47)</f>
        <v/>
      </c>
      <c r="O47" s="100" t="str">
        <f>IF(OR(K47="",$K$68=0),"",K47/$K$68)</f>
        <v/>
      </c>
      <c r="P47" s="56" t="str">
        <f>IF(COUNTA(B47:H47)=0,"",IF(OR(B47="",C47="",E47="",F47=""),"Angaben fehlen",IF(N(I47)&lt;=0,"Maße prüfen","OK")))</f>
        <v/>
      </c>
    </row>
    <row r="48" ht="19" customHeight="1">
      <c r="A48" s="50" t="n">
        <v>41</v>
      </c>
      <c r="B48" s="121" t="n"/>
      <c r="C48" s="115" t="n"/>
      <c r="D48" s="115" t="n"/>
      <c r="E48" s="115" t="n"/>
      <c r="F48" s="115" t="n"/>
      <c r="G48" s="52" t="n"/>
      <c r="H48" s="52" t="n"/>
      <c r="I48" s="99" t="str">
        <f>IF(AND(ISNUMBER(G48),ISNUMBER(H48)),G48*H48*IF($I$3="Rohbaumaße",1-$I$4,1),"")</f>
        <v/>
      </c>
      <c r="J48" s="54" t="str">
        <f>IF(OR(I48="",F48=""),"",IFERROR(VLOOKUP(F48,'Vergleich WoFlV'!$A$6:$C$15,2,FALSE),0))</f>
        <v/>
      </c>
      <c r="K48" s="99" t="str">
        <f>IF(J48="","",I48*J48)</f>
        <v/>
      </c>
      <c r="L48" s="54" t="str">
        <f>IF(OR(I48="",F48=""),"",IFERROR(VLOOKUP(F48,'Vergleich WoFlV'!$A$6:$C$15,3,FALSE),0))</f>
        <v/>
      </c>
      <c r="M48" s="99" t="str">
        <f>IF(L48="","",I48*L48)</f>
        <v/>
      </c>
      <c r="N48" s="99" t="str">
        <f>IF(K48="","",K48-M48)</f>
        <v/>
      </c>
      <c r="O48" s="100" t="str">
        <f>IF(OR(K48="",$K$68=0),"",K48/$K$68)</f>
        <v/>
      </c>
      <c r="P48" s="56" t="str">
        <f>IF(COUNTA(B48:H48)=0,"",IF(OR(B48="",C48="",E48="",F48=""),"Angaben fehlen",IF(N(I48)&lt;=0,"Maße prüfen","OK")))</f>
        <v/>
      </c>
    </row>
    <row r="49" ht="19" customHeight="1">
      <c r="A49" s="50" t="n">
        <v>42</v>
      </c>
      <c r="B49" s="121" t="n"/>
      <c r="C49" s="115" t="n"/>
      <c r="D49" s="115" t="n"/>
      <c r="E49" s="115" t="n"/>
      <c r="F49" s="115" t="n"/>
      <c r="G49" s="52" t="n"/>
      <c r="H49" s="52" t="n"/>
      <c r="I49" s="99" t="str">
        <f>IF(AND(ISNUMBER(G49),ISNUMBER(H49)),G49*H49*IF($I$3="Rohbaumaße",1-$I$4,1),"")</f>
        <v/>
      </c>
      <c r="J49" s="54" t="str">
        <f>IF(OR(I49="",F49=""),"",IFERROR(VLOOKUP(F49,'Vergleich WoFlV'!$A$6:$C$15,2,FALSE),0))</f>
        <v/>
      </c>
      <c r="K49" s="99" t="str">
        <f>IF(J49="","",I49*J49)</f>
        <v/>
      </c>
      <c r="L49" s="54" t="str">
        <f>IF(OR(I49="",F49=""),"",IFERROR(VLOOKUP(F49,'Vergleich WoFlV'!$A$6:$C$15,3,FALSE),0))</f>
        <v/>
      </c>
      <c r="M49" s="99" t="str">
        <f>IF(L49="","",I49*L49)</f>
        <v/>
      </c>
      <c r="N49" s="99" t="str">
        <f>IF(K49="","",K49-M49)</f>
        <v/>
      </c>
      <c r="O49" s="100" t="str">
        <f>IF(OR(K49="",$K$68=0),"",K49/$K$68)</f>
        <v/>
      </c>
      <c r="P49" s="56" t="str">
        <f>IF(COUNTA(B49:H49)=0,"",IF(OR(B49="",C49="",E49="",F49=""),"Angaben fehlen",IF(N(I49)&lt;=0,"Maße prüfen","OK")))</f>
        <v/>
      </c>
    </row>
    <row r="50" ht="19" customHeight="1">
      <c r="A50" s="50" t="n">
        <v>43</v>
      </c>
      <c r="B50" s="121" t="n"/>
      <c r="C50" s="115" t="n"/>
      <c r="D50" s="115" t="n"/>
      <c r="E50" s="115" t="n"/>
      <c r="F50" s="115" t="n"/>
      <c r="G50" s="52" t="n"/>
      <c r="H50" s="52" t="n"/>
      <c r="I50" s="99" t="str">
        <f>IF(AND(ISNUMBER(G50),ISNUMBER(H50)),G50*H50*IF($I$3="Rohbaumaße",1-$I$4,1),"")</f>
        <v/>
      </c>
      <c r="J50" s="54" t="str">
        <f>IF(OR(I50="",F50=""),"",IFERROR(VLOOKUP(F50,'Vergleich WoFlV'!$A$6:$C$15,2,FALSE),0))</f>
        <v/>
      </c>
      <c r="K50" s="99" t="str">
        <f>IF(J50="","",I50*J50)</f>
        <v/>
      </c>
      <c r="L50" s="54" t="str">
        <f>IF(OR(I50="",F50=""),"",IFERROR(VLOOKUP(F50,'Vergleich WoFlV'!$A$6:$C$15,3,FALSE),0))</f>
        <v/>
      </c>
      <c r="M50" s="99" t="str">
        <f>IF(L50="","",I50*L50)</f>
        <v/>
      </c>
      <c r="N50" s="99" t="str">
        <f>IF(K50="","",K50-M50)</f>
        <v/>
      </c>
      <c r="O50" s="100" t="str">
        <f>IF(OR(K50="",$K$68=0),"",K50/$K$68)</f>
        <v/>
      </c>
      <c r="P50" s="56" t="str">
        <f>IF(COUNTA(B50:H50)=0,"",IF(OR(B50="",C50="",E50="",F50=""),"Angaben fehlen",IF(N(I50)&lt;=0,"Maße prüfen","OK")))</f>
        <v/>
      </c>
    </row>
    <row r="51" ht="19" customHeight="1">
      <c r="A51" s="50" t="n">
        <v>44</v>
      </c>
      <c r="B51" s="121" t="n"/>
      <c r="C51" s="115" t="n"/>
      <c r="D51" s="115" t="n"/>
      <c r="E51" s="115" t="n"/>
      <c r="F51" s="115" t="n"/>
      <c r="G51" s="52" t="n"/>
      <c r="H51" s="52" t="n"/>
      <c r="I51" s="99" t="str">
        <f>IF(AND(ISNUMBER(G51),ISNUMBER(H51)),G51*H51*IF($I$3="Rohbaumaße",1-$I$4,1),"")</f>
        <v/>
      </c>
      <c r="J51" s="54" t="str">
        <f>IF(OR(I51="",F51=""),"",IFERROR(VLOOKUP(F51,'Vergleich WoFlV'!$A$6:$C$15,2,FALSE),0))</f>
        <v/>
      </c>
      <c r="K51" s="99" t="str">
        <f>IF(J51="","",I51*J51)</f>
        <v/>
      </c>
      <c r="L51" s="54" t="str">
        <f>IF(OR(I51="",F51=""),"",IFERROR(VLOOKUP(F51,'Vergleich WoFlV'!$A$6:$C$15,3,FALSE),0))</f>
        <v/>
      </c>
      <c r="M51" s="99" t="str">
        <f>IF(L51="","",I51*L51)</f>
        <v/>
      </c>
      <c r="N51" s="99" t="str">
        <f>IF(K51="","",K51-M51)</f>
        <v/>
      </c>
      <c r="O51" s="100" t="str">
        <f>IF(OR(K51="",$K$68=0),"",K51/$K$68)</f>
        <v/>
      </c>
      <c r="P51" s="56" t="str">
        <f>IF(COUNTA(B51:H51)=0,"",IF(OR(B51="",C51="",E51="",F51=""),"Angaben fehlen",IF(N(I51)&lt;=0,"Maße prüfen","OK")))</f>
        <v/>
      </c>
    </row>
    <row r="52" ht="19" customHeight="1">
      <c r="A52" s="50" t="n">
        <v>45</v>
      </c>
      <c r="B52" s="121" t="n"/>
      <c r="C52" s="115" t="n"/>
      <c r="D52" s="115" t="n"/>
      <c r="E52" s="115" t="n"/>
      <c r="F52" s="115" t="n"/>
      <c r="G52" s="52" t="n"/>
      <c r="H52" s="52" t="n"/>
      <c r="I52" s="99" t="str">
        <f>IF(AND(ISNUMBER(G52),ISNUMBER(H52)),G52*H52*IF($I$3="Rohbaumaße",1-$I$4,1),"")</f>
        <v/>
      </c>
      <c r="J52" s="54" t="str">
        <f>IF(OR(I52="",F52=""),"",IFERROR(VLOOKUP(F52,'Vergleich WoFlV'!$A$6:$C$15,2,FALSE),0))</f>
        <v/>
      </c>
      <c r="K52" s="99" t="str">
        <f>IF(J52="","",I52*J52)</f>
        <v/>
      </c>
      <c r="L52" s="54" t="str">
        <f>IF(OR(I52="",F52=""),"",IFERROR(VLOOKUP(F52,'Vergleich WoFlV'!$A$6:$C$15,3,FALSE),0))</f>
        <v/>
      </c>
      <c r="M52" s="99" t="str">
        <f>IF(L52="","",I52*L52)</f>
        <v/>
      </c>
      <c r="N52" s="99" t="str">
        <f>IF(K52="","",K52-M52)</f>
        <v/>
      </c>
      <c r="O52" s="100" t="str">
        <f>IF(OR(K52="",$K$68=0),"",K52/$K$68)</f>
        <v/>
      </c>
      <c r="P52" s="56" t="str">
        <f>IF(COUNTA(B52:H52)=0,"",IF(OR(B52="",C52="",E52="",F52=""),"Angaben fehlen",IF(N(I52)&lt;=0,"Maße prüfen","OK")))</f>
        <v/>
      </c>
    </row>
    <row r="53" ht="19" customHeight="1">
      <c r="A53" s="50" t="n">
        <v>46</v>
      </c>
      <c r="B53" s="121" t="n"/>
      <c r="C53" s="115" t="n"/>
      <c r="D53" s="115" t="n"/>
      <c r="E53" s="115" t="n"/>
      <c r="F53" s="115" t="n"/>
      <c r="G53" s="52" t="n"/>
      <c r="H53" s="52" t="n"/>
      <c r="I53" s="99" t="str">
        <f>IF(AND(ISNUMBER(G53),ISNUMBER(H53)),G53*H53*IF($I$3="Rohbaumaße",1-$I$4,1),"")</f>
        <v/>
      </c>
      <c r="J53" s="54" t="str">
        <f>IF(OR(I53="",F53=""),"",IFERROR(VLOOKUP(F53,'Vergleich WoFlV'!$A$6:$C$15,2,FALSE),0))</f>
        <v/>
      </c>
      <c r="K53" s="99" t="str">
        <f>IF(J53="","",I53*J53)</f>
        <v/>
      </c>
      <c r="L53" s="54" t="str">
        <f>IF(OR(I53="",F53=""),"",IFERROR(VLOOKUP(F53,'Vergleich WoFlV'!$A$6:$C$15,3,FALSE),0))</f>
        <v/>
      </c>
      <c r="M53" s="99" t="str">
        <f>IF(L53="","",I53*L53)</f>
        <v/>
      </c>
      <c r="N53" s="99" t="str">
        <f>IF(K53="","",K53-M53)</f>
        <v/>
      </c>
      <c r="O53" s="100" t="str">
        <f>IF(OR(K53="",$K$68=0),"",K53/$K$68)</f>
        <v/>
      </c>
      <c r="P53" s="56" t="str">
        <f>IF(COUNTA(B53:H53)=0,"",IF(OR(B53="",C53="",E53="",F53=""),"Angaben fehlen",IF(N(I53)&lt;=0,"Maße prüfen","OK")))</f>
        <v/>
      </c>
    </row>
    <row r="54" ht="19" customHeight="1">
      <c r="A54" s="50" t="n">
        <v>47</v>
      </c>
      <c r="B54" s="121" t="n"/>
      <c r="C54" s="115" t="n"/>
      <c r="D54" s="115" t="n"/>
      <c r="E54" s="115" t="n"/>
      <c r="F54" s="115" t="n"/>
      <c r="G54" s="52" t="n"/>
      <c r="H54" s="52" t="n"/>
      <c r="I54" s="99" t="str">
        <f>IF(AND(ISNUMBER(G54),ISNUMBER(H54)),G54*H54*IF($I$3="Rohbaumaße",1-$I$4,1),"")</f>
        <v/>
      </c>
      <c r="J54" s="54" t="str">
        <f>IF(OR(I54="",F54=""),"",IFERROR(VLOOKUP(F54,'Vergleich WoFlV'!$A$6:$C$15,2,FALSE),0))</f>
        <v/>
      </c>
      <c r="K54" s="99" t="str">
        <f>IF(J54="","",I54*J54)</f>
        <v/>
      </c>
      <c r="L54" s="54" t="str">
        <f>IF(OR(I54="",F54=""),"",IFERROR(VLOOKUP(F54,'Vergleich WoFlV'!$A$6:$C$15,3,FALSE),0))</f>
        <v/>
      </c>
      <c r="M54" s="99" t="str">
        <f>IF(L54="","",I54*L54)</f>
        <v/>
      </c>
      <c r="N54" s="99" t="str">
        <f>IF(K54="","",K54-M54)</f>
        <v/>
      </c>
      <c r="O54" s="100" t="str">
        <f>IF(OR(K54="",$K$68=0),"",K54/$K$68)</f>
        <v/>
      </c>
      <c r="P54" s="56" t="str">
        <f>IF(COUNTA(B54:H54)=0,"",IF(OR(B54="",C54="",E54="",F54=""),"Angaben fehlen",IF(N(I54)&lt;=0,"Maße prüfen","OK")))</f>
        <v/>
      </c>
    </row>
    <row r="55" ht="19" customHeight="1">
      <c r="A55" s="50" t="n">
        <v>48</v>
      </c>
      <c r="B55" s="121" t="n"/>
      <c r="C55" s="115" t="n"/>
      <c r="D55" s="115" t="n"/>
      <c r="E55" s="115" t="n"/>
      <c r="F55" s="115" t="n"/>
      <c r="G55" s="52" t="n"/>
      <c r="H55" s="52" t="n"/>
      <c r="I55" s="99" t="str">
        <f>IF(AND(ISNUMBER(G55),ISNUMBER(H55)),G55*H55*IF($I$3="Rohbaumaße",1-$I$4,1),"")</f>
        <v/>
      </c>
      <c r="J55" s="54" t="str">
        <f>IF(OR(I55="",F55=""),"",IFERROR(VLOOKUP(F55,'Vergleich WoFlV'!$A$6:$C$15,2,FALSE),0))</f>
        <v/>
      </c>
      <c r="K55" s="99" t="str">
        <f>IF(J55="","",I55*J55)</f>
        <v/>
      </c>
      <c r="L55" s="54" t="str">
        <f>IF(OR(I55="",F55=""),"",IFERROR(VLOOKUP(F55,'Vergleich WoFlV'!$A$6:$C$15,3,FALSE),0))</f>
        <v/>
      </c>
      <c r="M55" s="99" t="str">
        <f>IF(L55="","",I55*L55)</f>
        <v/>
      </c>
      <c r="N55" s="99" t="str">
        <f>IF(K55="","",K55-M55)</f>
        <v/>
      </c>
      <c r="O55" s="100" t="str">
        <f>IF(OR(K55="",$K$68=0),"",K55/$K$68)</f>
        <v/>
      </c>
      <c r="P55" s="56" t="str">
        <f>IF(COUNTA(B55:H55)=0,"",IF(OR(B55="",C55="",E55="",F55=""),"Angaben fehlen",IF(N(I55)&lt;=0,"Maße prüfen","OK")))</f>
        <v/>
      </c>
    </row>
    <row r="56" ht="19" customHeight="1">
      <c r="A56" s="50" t="n">
        <v>49</v>
      </c>
      <c r="B56" s="121" t="n"/>
      <c r="C56" s="115" t="n"/>
      <c r="D56" s="115" t="n"/>
      <c r="E56" s="115" t="n"/>
      <c r="F56" s="115" t="n"/>
      <c r="G56" s="52" t="n"/>
      <c r="H56" s="52" t="n"/>
      <c r="I56" s="99" t="str">
        <f>IF(AND(ISNUMBER(G56),ISNUMBER(H56)),G56*H56*IF($I$3="Rohbaumaße",1-$I$4,1),"")</f>
        <v/>
      </c>
      <c r="J56" s="54" t="str">
        <f>IF(OR(I56="",F56=""),"",IFERROR(VLOOKUP(F56,'Vergleich WoFlV'!$A$6:$C$15,2,FALSE),0))</f>
        <v/>
      </c>
      <c r="K56" s="99" t="str">
        <f>IF(J56="","",I56*J56)</f>
        <v/>
      </c>
      <c r="L56" s="54" t="str">
        <f>IF(OR(I56="",F56=""),"",IFERROR(VLOOKUP(F56,'Vergleich WoFlV'!$A$6:$C$15,3,FALSE),0))</f>
        <v/>
      </c>
      <c r="M56" s="99" t="str">
        <f>IF(L56="","",I56*L56)</f>
        <v/>
      </c>
      <c r="N56" s="99" t="str">
        <f>IF(K56="","",K56-M56)</f>
        <v/>
      </c>
      <c r="O56" s="100" t="str">
        <f>IF(OR(K56="",$K$68=0),"",K56/$K$68)</f>
        <v/>
      </c>
      <c r="P56" s="56" t="str">
        <f>IF(COUNTA(B56:H56)=0,"",IF(OR(B56="",C56="",E56="",F56=""),"Angaben fehlen",IF(N(I56)&lt;=0,"Maße prüfen","OK")))</f>
        <v/>
      </c>
    </row>
    <row r="57" ht="19" customHeight="1">
      <c r="A57" s="50" t="n">
        <v>50</v>
      </c>
      <c r="B57" s="121" t="n"/>
      <c r="C57" s="115" t="n"/>
      <c r="D57" s="115" t="n"/>
      <c r="E57" s="115" t="n"/>
      <c r="F57" s="115" t="n"/>
      <c r="G57" s="52" t="n"/>
      <c r="H57" s="52" t="n"/>
      <c r="I57" s="99" t="str">
        <f>IF(AND(ISNUMBER(G57),ISNUMBER(H57)),G57*H57*IF($I$3="Rohbaumaße",1-$I$4,1),"")</f>
        <v/>
      </c>
      <c r="J57" s="54" t="str">
        <f>IF(OR(I57="",F57=""),"",IFERROR(VLOOKUP(F57,'Vergleich WoFlV'!$A$6:$C$15,2,FALSE),0))</f>
        <v/>
      </c>
      <c r="K57" s="99" t="str">
        <f>IF(J57="","",I57*J57)</f>
        <v/>
      </c>
      <c r="L57" s="54" t="str">
        <f>IF(OR(I57="",F57=""),"",IFERROR(VLOOKUP(F57,'Vergleich WoFlV'!$A$6:$C$15,3,FALSE),0))</f>
        <v/>
      </c>
      <c r="M57" s="99" t="str">
        <f>IF(L57="","",I57*L57)</f>
        <v/>
      </c>
      <c r="N57" s="99" t="str">
        <f>IF(K57="","",K57-M57)</f>
        <v/>
      </c>
      <c r="O57" s="100" t="str">
        <f>IF(OR(K57="",$K$68=0),"",K57/$K$68)</f>
        <v/>
      </c>
      <c r="P57" s="56" t="str">
        <f>IF(COUNTA(B57:H57)=0,"",IF(OR(B57="",C57="",E57="",F57=""),"Angaben fehlen",IF(N(I57)&lt;=0,"Maße prüfen","OK")))</f>
        <v/>
      </c>
    </row>
    <row r="58" ht="19" customHeight="1">
      <c r="A58" s="50" t="n">
        <v>51</v>
      </c>
      <c r="B58" s="121" t="n"/>
      <c r="C58" s="115" t="n"/>
      <c r="D58" s="115" t="n"/>
      <c r="E58" s="115" t="n"/>
      <c r="F58" s="115" t="n"/>
      <c r="G58" s="52" t="n"/>
      <c r="H58" s="52" t="n"/>
      <c r="I58" s="99" t="str">
        <f>IF(AND(ISNUMBER(G58),ISNUMBER(H58)),G58*H58*IF($I$3="Rohbaumaße",1-$I$4,1),"")</f>
        <v/>
      </c>
      <c r="J58" s="54" t="str">
        <f>IF(OR(I58="",F58=""),"",IFERROR(VLOOKUP(F58,'Vergleich WoFlV'!$A$6:$C$15,2,FALSE),0))</f>
        <v/>
      </c>
      <c r="K58" s="99" t="str">
        <f>IF(J58="","",I58*J58)</f>
        <v/>
      </c>
      <c r="L58" s="54" t="str">
        <f>IF(OR(I58="",F58=""),"",IFERROR(VLOOKUP(F58,'Vergleich WoFlV'!$A$6:$C$15,3,FALSE),0))</f>
        <v/>
      </c>
      <c r="M58" s="99" t="str">
        <f>IF(L58="","",I58*L58)</f>
        <v/>
      </c>
      <c r="N58" s="99" t="str">
        <f>IF(K58="","",K58-M58)</f>
        <v/>
      </c>
      <c r="O58" s="100" t="str">
        <f>IF(OR(K58="",$K$68=0),"",K58/$K$68)</f>
        <v/>
      </c>
      <c r="P58" s="56" t="str">
        <f>IF(COUNTA(B58:H58)=0,"",IF(OR(B58="",C58="",E58="",F58=""),"Angaben fehlen",IF(N(I58)&lt;=0,"Maße prüfen","OK")))</f>
        <v/>
      </c>
    </row>
    <row r="59" ht="19" customHeight="1">
      <c r="A59" s="50" t="n">
        <v>52</v>
      </c>
      <c r="B59" s="121" t="n"/>
      <c r="C59" s="115" t="n"/>
      <c r="D59" s="115" t="n"/>
      <c r="E59" s="115" t="n"/>
      <c r="F59" s="115" t="n"/>
      <c r="G59" s="52" t="n"/>
      <c r="H59" s="52" t="n"/>
      <c r="I59" s="99" t="str">
        <f>IF(AND(ISNUMBER(G59),ISNUMBER(H59)),G59*H59*IF($I$3="Rohbaumaße",1-$I$4,1),"")</f>
        <v/>
      </c>
      <c r="J59" s="54" t="str">
        <f>IF(OR(I59="",F59=""),"",IFERROR(VLOOKUP(F59,'Vergleich WoFlV'!$A$6:$C$15,2,FALSE),0))</f>
        <v/>
      </c>
      <c r="K59" s="99" t="str">
        <f>IF(J59="","",I59*J59)</f>
        <v/>
      </c>
      <c r="L59" s="54" t="str">
        <f>IF(OR(I59="",F59=""),"",IFERROR(VLOOKUP(F59,'Vergleich WoFlV'!$A$6:$C$15,3,FALSE),0))</f>
        <v/>
      </c>
      <c r="M59" s="99" t="str">
        <f>IF(L59="","",I59*L59)</f>
        <v/>
      </c>
      <c r="N59" s="99" t="str">
        <f>IF(K59="","",K59-M59)</f>
        <v/>
      </c>
      <c r="O59" s="100" t="str">
        <f>IF(OR(K59="",$K$68=0),"",K59/$K$68)</f>
        <v/>
      </c>
      <c r="P59" s="56" t="str">
        <f>IF(COUNTA(B59:H59)=0,"",IF(OR(B59="",C59="",E59="",F59=""),"Angaben fehlen",IF(N(I59)&lt;=0,"Maße prüfen","OK")))</f>
        <v/>
      </c>
    </row>
    <row r="60" ht="19" customHeight="1">
      <c r="A60" s="50" t="n">
        <v>53</v>
      </c>
      <c r="B60" s="121" t="n"/>
      <c r="C60" s="115" t="n"/>
      <c r="D60" s="115" t="n"/>
      <c r="E60" s="115" t="n"/>
      <c r="F60" s="115" t="n"/>
      <c r="G60" s="52" t="n"/>
      <c r="H60" s="52" t="n"/>
      <c r="I60" s="99" t="str">
        <f>IF(AND(ISNUMBER(G60),ISNUMBER(H60)),G60*H60*IF($I$3="Rohbaumaße",1-$I$4,1),"")</f>
        <v/>
      </c>
      <c r="J60" s="54" t="str">
        <f>IF(OR(I60="",F60=""),"",IFERROR(VLOOKUP(F60,'Vergleich WoFlV'!$A$6:$C$15,2,FALSE),0))</f>
        <v/>
      </c>
      <c r="K60" s="99" t="str">
        <f>IF(J60="","",I60*J60)</f>
        <v/>
      </c>
      <c r="L60" s="54" t="str">
        <f>IF(OR(I60="",F60=""),"",IFERROR(VLOOKUP(F60,'Vergleich WoFlV'!$A$6:$C$15,3,FALSE),0))</f>
        <v/>
      </c>
      <c r="M60" s="99" t="str">
        <f>IF(L60="","",I60*L60)</f>
        <v/>
      </c>
      <c r="N60" s="99" t="str">
        <f>IF(K60="","",K60-M60)</f>
        <v/>
      </c>
      <c r="O60" s="100" t="str">
        <f>IF(OR(K60="",$K$68=0),"",K60/$K$68)</f>
        <v/>
      </c>
      <c r="P60" s="56" t="str">
        <f>IF(COUNTA(B60:H60)=0,"",IF(OR(B60="",C60="",E60="",F60=""),"Angaben fehlen",IF(N(I60)&lt;=0,"Maße prüfen","OK")))</f>
        <v/>
      </c>
    </row>
    <row r="61" ht="19" customHeight="1">
      <c r="A61" s="50" t="n">
        <v>54</v>
      </c>
      <c r="B61" s="121" t="n"/>
      <c r="C61" s="115" t="n"/>
      <c r="D61" s="115" t="n"/>
      <c r="E61" s="115" t="n"/>
      <c r="F61" s="115" t="n"/>
      <c r="G61" s="52" t="n"/>
      <c r="H61" s="52" t="n"/>
      <c r="I61" s="99" t="str">
        <f>IF(AND(ISNUMBER(G61),ISNUMBER(H61)),G61*H61*IF($I$3="Rohbaumaße",1-$I$4,1),"")</f>
        <v/>
      </c>
      <c r="J61" s="54" t="str">
        <f>IF(OR(I61="",F61=""),"",IFERROR(VLOOKUP(F61,'Vergleich WoFlV'!$A$6:$C$15,2,FALSE),0))</f>
        <v/>
      </c>
      <c r="K61" s="99" t="str">
        <f>IF(J61="","",I61*J61)</f>
        <v/>
      </c>
      <c r="L61" s="54" t="str">
        <f>IF(OR(I61="",F61=""),"",IFERROR(VLOOKUP(F61,'Vergleich WoFlV'!$A$6:$C$15,3,FALSE),0))</f>
        <v/>
      </c>
      <c r="M61" s="99" t="str">
        <f>IF(L61="","",I61*L61)</f>
        <v/>
      </c>
      <c r="N61" s="99" t="str">
        <f>IF(K61="","",K61-M61)</f>
        <v/>
      </c>
      <c r="O61" s="100" t="str">
        <f>IF(OR(K61="",$K$68=0),"",K61/$K$68)</f>
        <v/>
      </c>
      <c r="P61" s="56" t="str">
        <f>IF(COUNTA(B61:H61)=0,"",IF(OR(B61="",C61="",E61="",F61=""),"Angaben fehlen",IF(N(I61)&lt;=0,"Maße prüfen","OK")))</f>
        <v/>
      </c>
    </row>
    <row r="62" ht="19" customHeight="1">
      <c r="A62" s="50" t="n">
        <v>55</v>
      </c>
      <c r="B62" s="121" t="n"/>
      <c r="C62" s="115" t="n"/>
      <c r="D62" s="115" t="n"/>
      <c r="E62" s="115" t="n"/>
      <c r="F62" s="115" t="n"/>
      <c r="G62" s="52" t="n"/>
      <c r="H62" s="52" t="n"/>
      <c r="I62" s="99" t="str">
        <f>IF(AND(ISNUMBER(G62),ISNUMBER(H62)),G62*H62*IF($I$3="Rohbaumaße",1-$I$4,1),"")</f>
        <v/>
      </c>
      <c r="J62" s="54" t="str">
        <f>IF(OR(I62="",F62=""),"",IFERROR(VLOOKUP(F62,'Vergleich WoFlV'!$A$6:$C$15,2,FALSE),0))</f>
        <v/>
      </c>
      <c r="K62" s="99" t="str">
        <f>IF(J62="","",I62*J62)</f>
        <v/>
      </c>
      <c r="L62" s="54" t="str">
        <f>IF(OR(I62="",F62=""),"",IFERROR(VLOOKUP(F62,'Vergleich WoFlV'!$A$6:$C$15,3,FALSE),0))</f>
        <v/>
      </c>
      <c r="M62" s="99" t="str">
        <f>IF(L62="","",I62*L62)</f>
        <v/>
      </c>
      <c r="N62" s="99" t="str">
        <f>IF(K62="","",K62-M62)</f>
        <v/>
      </c>
      <c r="O62" s="100" t="str">
        <f>IF(OR(K62="",$K$68=0),"",K62/$K$68)</f>
        <v/>
      </c>
      <c r="P62" s="56" t="str">
        <f>IF(COUNTA(B62:H62)=0,"",IF(OR(B62="",C62="",E62="",F62=""),"Angaben fehlen",IF(N(I62)&lt;=0,"Maße prüfen","OK")))</f>
        <v/>
      </c>
    </row>
    <row r="63" ht="19" customHeight="1">
      <c r="A63" s="50" t="n">
        <v>56</v>
      </c>
      <c r="B63" s="121" t="n"/>
      <c r="C63" s="115" t="n"/>
      <c r="D63" s="115" t="n"/>
      <c r="E63" s="115" t="n"/>
      <c r="F63" s="115" t="n"/>
      <c r="G63" s="52" t="n"/>
      <c r="H63" s="52" t="n"/>
      <c r="I63" s="99" t="str">
        <f>IF(AND(ISNUMBER(G63),ISNUMBER(H63)),G63*H63*IF($I$3="Rohbaumaße",1-$I$4,1),"")</f>
        <v/>
      </c>
      <c r="J63" s="54" t="str">
        <f>IF(OR(I63="",F63=""),"",IFERROR(VLOOKUP(F63,'Vergleich WoFlV'!$A$6:$C$15,2,FALSE),0))</f>
        <v/>
      </c>
      <c r="K63" s="99" t="str">
        <f>IF(J63="","",I63*J63)</f>
        <v/>
      </c>
      <c r="L63" s="54" t="str">
        <f>IF(OR(I63="",F63=""),"",IFERROR(VLOOKUP(F63,'Vergleich WoFlV'!$A$6:$C$15,3,FALSE),0))</f>
        <v/>
      </c>
      <c r="M63" s="99" t="str">
        <f>IF(L63="","",I63*L63)</f>
        <v/>
      </c>
      <c r="N63" s="99" t="str">
        <f>IF(K63="","",K63-M63)</f>
        <v/>
      </c>
      <c r="O63" s="100" t="str">
        <f>IF(OR(K63="",$K$68=0),"",K63/$K$68)</f>
        <v/>
      </c>
      <c r="P63" s="56" t="str">
        <f>IF(COUNTA(B63:H63)=0,"",IF(OR(B63="",C63="",E63="",F63=""),"Angaben fehlen",IF(N(I63)&lt;=0,"Maße prüfen","OK")))</f>
        <v/>
      </c>
    </row>
    <row r="64" ht="19" customHeight="1">
      <c r="A64" s="50" t="n">
        <v>57</v>
      </c>
      <c r="B64" s="121" t="n"/>
      <c r="C64" s="115" t="n"/>
      <c r="D64" s="115" t="n"/>
      <c r="E64" s="115" t="n"/>
      <c r="F64" s="115" t="n"/>
      <c r="G64" s="52" t="n"/>
      <c r="H64" s="52" t="n"/>
      <c r="I64" s="99" t="str">
        <f>IF(AND(ISNUMBER(G64),ISNUMBER(H64)),G64*H64*IF($I$3="Rohbaumaße",1-$I$4,1),"")</f>
        <v/>
      </c>
      <c r="J64" s="54" t="str">
        <f>IF(OR(I64="",F64=""),"",IFERROR(VLOOKUP(F64,'Vergleich WoFlV'!$A$6:$C$15,2,FALSE),0))</f>
        <v/>
      </c>
      <c r="K64" s="99" t="str">
        <f>IF(J64="","",I64*J64)</f>
        <v/>
      </c>
      <c r="L64" s="54" t="str">
        <f>IF(OR(I64="",F64=""),"",IFERROR(VLOOKUP(F64,'Vergleich WoFlV'!$A$6:$C$15,3,FALSE),0))</f>
        <v/>
      </c>
      <c r="M64" s="99" t="str">
        <f>IF(L64="","",I64*L64)</f>
        <v/>
      </c>
      <c r="N64" s="99" t="str">
        <f>IF(K64="","",K64-M64)</f>
        <v/>
      </c>
      <c r="O64" s="100" t="str">
        <f>IF(OR(K64="",$K$68=0),"",K64/$K$68)</f>
        <v/>
      </c>
      <c r="P64" s="56" t="str">
        <f>IF(COUNTA(B64:H64)=0,"",IF(OR(B64="",C64="",E64="",F64=""),"Angaben fehlen",IF(N(I64)&lt;=0,"Maße prüfen","OK")))</f>
        <v/>
      </c>
    </row>
    <row r="65" ht="19" customHeight="1">
      <c r="A65" s="50" t="n">
        <v>58</v>
      </c>
      <c r="B65" s="121" t="n"/>
      <c r="C65" s="115" t="n"/>
      <c r="D65" s="115" t="n"/>
      <c r="E65" s="115" t="n"/>
      <c r="F65" s="115" t="n"/>
      <c r="G65" s="52" t="n"/>
      <c r="H65" s="52" t="n"/>
      <c r="I65" s="99" t="str">
        <f>IF(AND(ISNUMBER(G65),ISNUMBER(H65)),G65*H65*IF($I$3="Rohbaumaße",1-$I$4,1),"")</f>
        <v/>
      </c>
      <c r="J65" s="54" t="str">
        <f>IF(OR(I65="",F65=""),"",IFERROR(VLOOKUP(F65,'Vergleich WoFlV'!$A$6:$C$15,2,FALSE),0))</f>
        <v/>
      </c>
      <c r="K65" s="99" t="str">
        <f>IF(J65="","",I65*J65)</f>
        <v/>
      </c>
      <c r="L65" s="54" t="str">
        <f>IF(OR(I65="",F65=""),"",IFERROR(VLOOKUP(F65,'Vergleich WoFlV'!$A$6:$C$15,3,FALSE),0))</f>
        <v/>
      </c>
      <c r="M65" s="99" t="str">
        <f>IF(L65="","",I65*L65)</f>
        <v/>
      </c>
      <c r="N65" s="99" t="str">
        <f>IF(K65="","",K65-M65)</f>
        <v/>
      </c>
      <c r="O65" s="100" t="str">
        <f>IF(OR(K65="",$K$68=0),"",K65/$K$68)</f>
        <v/>
      </c>
      <c r="P65" s="56" t="str">
        <f>IF(COUNTA(B65:H65)=0,"",IF(OR(B65="",C65="",E65="",F65=""),"Angaben fehlen",IF(N(I65)&lt;=0,"Maße prüfen","OK")))</f>
        <v/>
      </c>
    </row>
    <row r="66" ht="19" customHeight="1">
      <c r="A66" s="50" t="n">
        <v>59</v>
      </c>
      <c r="B66" s="121" t="n"/>
      <c r="C66" s="115" t="n"/>
      <c r="D66" s="115" t="n"/>
      <c r="E66" s="115" t="n"/>
      <c r="F66" s="115" t="n"/>
      <c r="G66" s="52" t="n"/>
      <c r="H66" s="52" t="n"/>
      <c r="I66" s="99" t="str">
        <f>IF(AND(ISNUMBER(G66),ISNUMBER(H66)),G66*H66*IF($I$3="Rohbaumaße",1-$I$4,1),"")</f>
        <v/>
      </c>
      <c r="J66" s="54" t="str">
        <f>IF(OR(I66="",F66=""),"",IFERROR(VLOOKUP(F66,'Vergleich WoFlV'!$A$6:$C$15,2,FALSE),0))</f>
        <v/>
      </c>
      <c r="K66" s="99" t="str">
        <f>IF(J66="","",I66*J66)</f>
        <v/>
      </c>
      <c r="L66" s="54" t="str">
        <f>IF(OR(I66="",F66=""),"",IFERROR(VLOOKUP(F66,'Vergleich WoFlV'!$A$6:$C$15,3,FALSE),0))</f>
        <v/>
      </c>
      <c r="M66" s="99" t="str">
        <f>IF(L66="","",I66*L66)</f>
        <v/>
      </c>
      <c r="N66" s="99" t="str">
        <f>IF(K66="","",K66-M66)</f>
        <v/>
      </c>
      <c r="O66" s="100" t="str">
        <f>IF(OR(K66="",$K$68=0),"",K66/$K$68)</f>
        <v/>
      </c>
      <c r="P66" s="56" t="str">
        <f>IF(COUNTA(B66:H66)=0,"",IF(OR(B66="",C66="",E66="",F66=""),"Angaben fehlen",IF(N(I66)&lt;=0,"Maße prüfen","OK")))</f>
        <v/>
      </c>
    </row>
    <row r="67" ht="19" customHeight="1">
      <c r="A67" s="50" t="n">
        <v>60</v>
      </c>
      <c r="B67" s="121" t="n"/>
      <c r="C67" s="115" t="n"/>
      <c r="D67" s="115" t="n"/>
      <c r="E67" s="115" t="n"/>
      <c r="F67" s="115" t="n"/>
      <c r="G67" s="52" t="n"/>
      <c r="H67" s="52" t="n"/>
      <c r="I67" s="99" t="str">
        <f>IF(AND(ISNUMBER(G67),ISNUMBER(H67)),G67*H67*IF($I$3="Rohbaumaße",1-$I$4,1),"")</f>
        <v/>
      </c>
      <c r="J67" s="54" t="str">
        <f>IF(OR(I67="",F67=""),"",IFERROR(VLOOKUP(F67,'Vergleich WoFlV'!$A$6:$C$15,2,FALSE),0))</f>
        <v/>
      </c>
      <c r="K67" s="99" t="str">
        <f>IF(J67="","",I67*J67)</f>
        <v/>
      </c>
      <c r="L67" s="54" t="str">
        <f>IF(OR(I67="",F67=""),"",IFERROR(VLOOKUP(F67,'Vergleich WoFlV'!$A$6:$C$15,3,FALSE),0))</f>
        <v/>
      </c>
      <c r="M67" s="99" t="str">
        <f>IF(L67="","",I67*L67)</f>
        <v/>
      </c>
      <c r="N67" s="99" t="str">
        <f>IF(K67="","",K67-M67)</f>
        <v/>
      </c>
      <c r="O67" s="100" t="str">
        <f>IF(OR(K67="",$K$68=0),"",K67/$K$68)</f>
        <v/>
      </c>
      <c r="P67" s="56" t="str">
        <f>IF(COUNTA(B67:H67)=0,"",IF(OR(B67="",C67="",E67="",F67=""),"Angaben fehlen",IF(N(I67)&lt;=0,"Maße prüfen","OK")))</f>
        <v/>
      </c>
    </row>
    <row r="68" ht="24" customHeight="1">
      <c r="A68" s="122" t="inlineStr">
        <is>
          <t>Summe</t>
        </is>
      </c>
      <c r="B68" s="16" t="n"/>
      <c r="C68" s="16" t="n"/>
      <c r="D68" s="16" t="n"/>
      <c r="E68" s="16" t="n"/>
      <c r="F68" s="16" t="n"/>
      <c r="G68" s="16" t="n"/>
      <c r="H68" s="17" t="n"/>
      <c r="I68" s="102">
        <f>SUM(I8:I67)</f>
        <v>339.72</v>
      </c>
      <c r="J68" s="58" t="n"/>
      <c r="K68" s="102">
        <f>SUM(K8:K67)</f>
        <v>339.72</v>
      </c>
      <c r="L68" s="58" t="n"/>
      <c r="M68" s="102">
        <f>SUM(M8:M67)</f>
        <v>250.36</v>
      </c>
      <c r="N68" s="102">
        <f>SUM(N8:N67)</f>
        <v>89.36</v>
      </c>
      <c r="O68" s="114">
        <f>SUM(O8:O67)</f>
        <v>1</v>
      </c>
      <c r="P68" s="58" t="n"/>
    </row>
    <row r="70">
      <c r="A70" s="110" t="inlineStr">
        <is>
          <t>Formeln: Grundfläche = Länge × Breite (bei Rohbaumaßen abzüglich Putzabzug) · Fläche = Grundfläche × Anrechnungsfaktor · Faktoren stehen im Blatt „Vergleich WoFlV“ (editierbar).</t>
        </is>
      </c>
    </row>
  </sheetData>
  <mergeCells count="22">
    <mergeCell ref="C5:D5"/>
    <mergeCell ref="C4:D4"/>
    <mergeCell ref="N3:O3"/>
    <mergeCell ref="N5:O5"/>
    <mergeCell ref="A3:B3"/>
    <mergeCell ref="G3:H3"/>
    <mergeCell ref="I3:J3"/>
    <mergeCell ref="A1:P1"/>
    <mergeCell ref="K4:M4"/>
    <mergeCell ref="A70:P70"/>
    <mergeCell ref="A5:B5"/>
    <mergeCell ref="G5:H5"/>
    <mergeCell ref="I5:J5"/>
    <mergeCell ref="K3:M3"/>
    <mergeCell ref="A4:B4"/>
    <mergeCell ref="G4:H4"/>
    <mergeCell ref="I4:J4"/>
    <mergeCell ref="K5:M5"/>
    <mergeCell ref="A68:H68"/>
    <mergeCell ref="C3:D3"/>
    <mergeCell ref="N4:O4"/>
    <mergeCell ref="A2:P2"/>
  </mergeCells>
  <conditionalFormatting sqref="P8:P67">
    <cfRule type="expression" priority="1" dxfId="1">
      <formula>P8="OK"</formula>
    </cfRule>
    <cfRule type="expression" priority="2" dxfId="2">
      <formula>OR(P8="Angaben fehlen",P8="Maße prüfen")</formula>
    </cfRule>
  </conditionalFormatting>
  <conditionalFormatting sqref="O8:O67">
    <cfRule type="dataBar" priority="3">
      <dataBar showValue="1">
        <cfvo type="num" val="0"/>
        <cfvo type="max"/>
        <color rgb="0060A5FA"/>
      </dataBar>
    </cfRule>
  </conditionalFormatting>
  <conditionalFormatting sqref="N8:N67">
    <cfRule type="cellIs" priority="4" operator="greaterThan" dxfId="3">
      <formula>0</formula>
    </cfRule>
  </conditionalFormatting>
  <dataValidations count="7">
    <dataValidation sqref="B8:B67" showDropDown="0" showInputMessage="0" showErrorMessage="1" allowBlank="1" errorTitle="Ungültiger Eintrag" error="Bitte ein Geschoss aus der Liste wählen." type="list">
      <formula1>=Listen!$B$2:$B$7</formula1>
    </dataValidation>
    <dataValidation sqref="C8:C67" showDropDown="0" showInputMessage="0" showErrorMessage="1" allowBlank="1" errorTitle="Ungültiger Eintrag" error="Bereich zuerst im Blatt Flächenübersicht (Tabelle 4) anlegen." type="list">
      <formula1>='Flächenübersicht'!$A$45:$A$54</formula1>
    </dataValidation>
    <dataValidation sqref="E8:E67" showDropDown="0" showInputMessage="0" showErrorMessage="1" allowBlank="1" errorTitle="Ungültiger Eintrag" error="Bitte eine Nutzungsart aus der Liste wählen." type="list">
      <formula1>=Listen!$A$2:$A$10</formula1>
    </dataValidation>
    <dataValidation sqref="F8:F67" showDropDown="0" showInputMessage="0" showErrorMessage="1" allowBlank="1" errorTitle="Ungültiger Eintrag" error="Bitte eine Flächenart aus der Liste wählen." type="list">
      <formula1>='Vergleich WoFlV'!$A$6:$A$15</formula1>
    </dataValidation>
    <dataValidation sqref="I3:J3" showDropDown="0" showInputMessage="0" showErrorMessage="1" allowBlank="1" errorTitle="Ungültiger Eintrag" error="Lichte Maße oder Rohbaumaße." type="list">
      <formula1>=Listen!$C$2:$C$3</formula1>
    </dataValidation>
    <dataValidation sqref="G8:H67" showDropDown="0" showInputMessage="0" showErrorMessage="1" allowBlank="1" errorTitle="Ungültiges Maß" error="Bitte ein Maß in Metern zwischen 0 und 500 eingeben." type="decimal" operator="between">
      <formula1>0</formula1>
      <formula2>500</formula2>
    </dataValidation>
    <dataValidation sqref="I4:J4" showDropDown="0" showInputMessage="0" showErrorMessage="1" allowBlank="0" error="Putzabzug zwischen 0 % und 20 %." type="decimal" operator="between">
      <formula1>0</formula1>
      <formula2>0.2</formula2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073763"/>
    <outlinePr summaryBelow="1" summaryRight="1"/>
    <pageSetUpPr fitToPage="1"/>
  </sheetPr>
  <dimension ref="A1:K5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36" customHeight="1">
      <c r="A1" s="117" t="inlineStr">
        <is>
          <t>Flächenübersicht nach DIN 277</t>
        </is>
      </c>
    </row>
    <row r="2" ht="30" customHeight="1">
      <c r="A2" s="4" t="inlineStr">
        <is>
          <t>Alle Werte werden aus dem Blatt „Raumerfassung“ berechnet (Beispieldaten). Eingabefelder: KGF-Annahme und Bereichsnamen (blau).</t>
        </is>
      </c>
    </row>
    <row r="4" ht="22" customHeight="1">
      <c r="A4" s="74" t="inlineStr">
        <is>
          <t>Brutto-Grundfläche (BGF)</t>
        </is>
      </c>
      <c r="B4" s="75" t="inlineStr">
        <is>
          <t>Netto-Raumfläche (NRF)</t>
        </is>
      </c>
      <c r="D4" s="77" t="inlineStr">
        <is>
          <t>Nutzungsfläche (NUF)</t>
        </is>
      </c>
      <c r="F4" s="79" t="inlineStr">
        <is>
          <t>Konstruktions-Grundfläche</t>
        </is>
      </c>
      <c r="H4" s="81" t="inlineStr">
        <is>
          <t>Fläche nach WoFlV</t>
        </is>
      </c>
      <c r="J4" s="83" t="inlineStr">
        <is>
          <t>Differenz DIN 277 – WoFlV</t>
        </is>
      </c>
    </row>
    <row r="5" ht="42" customHeight="1">
      <c r="A5" s="85">
        <f>B15</f>
        <v>399.670588235294</v>
      </c>
      <c r="B5" s="86">
        <f>B13</f>
        <v>339.72</v>
      </c>
      <c r="D5" s="87">
        <f>B10</f>
        <v>278.76</v>
      </c>
      <c r="F5" s="88">
        <f>B14</f>
        <v>59.9505882352941</v>
      </c>
      <c r="H5" s="89">
        <f>E30</f>
        <v>250.36</v>
      </c>
      <c r="J5" s="90">
        <f>C30-E30</f>
        <v>89.36</v>
      </c>
    </row>
    <row r="6" ht="20" customHeight="1">
      <c r="A6" s="91" t="inlineStr">
        <is>
          <t>BGF = NRF + KGF</t>
        </is>
      </c>
      <c r="B6" s="92" t="inlineStr">
        <is>
          <t>NUF + TF + VF</t>
        </is>
      </c>
      <c r="D6" s="93" t="inlineStr">
        <is>
          <t>NUF 1–7</t>
        </is>
      </c>
      <c r="F6" s="94" t="inlineStr">
        <is>
          <t>Wände, Stützen, Schächte</t>
        </is>
      </c>
      <c r="H6" s="95" t="inlineStr">
        <is>
          <t>gewichtet mit WoFlV-Faktoren</t>
        </is>
      </c>
      <c r="J6" s="96" t="inlineStr">
        <is>
          <t>Mehrfläche nach DIN 277</t>
        </is>
      </c>
    </row>
    <row r="8" ht="24" customHeight="1">
      <c r="A8" s="118" t="inlineStr">
        <is>
          <t>1  Flächenhierarchie: BGF = NRF + KGF · NRF = NUF + TF + VF</t>
        </is>
      </c>
    </row>
    <row r="9" ht="30" customHeight="1">
      <c r="A9" s="18" t="inlineStr">
        <is>
          <t>Position</t>
        </is>
      </c>
      <c r="B9" s="18" t="inlineStr">
        <is>
          <t>m² (DIN 277)</t>
        </is>
      </c>
      <c r="C9" s="18" t="inlineStr">
        <is>
          <t>Anteil an BGF</t>
        </is>
      </c>
      <c r="D9" s="18" t="inlineStr">
        <is>
          <t>Erläuterung</t>
        </is>
      </c>
      <c r="E9" s="16" t="n"/>
      <c r="F9" s="16" t="n"/>
      <c r="G9" s="17" t="n"/>
    </row>
    <row r="10" ht="28" customHeight="1">
      <c r="A10" s="126" t="inlineStr">
        <is>
          <t>Nutzungsfläche (NUF)</t>
        </is>
      </c>
      <c r="B10" s="99">
        <f>SUM(C21:C27)</f>
        <v>278.76</v>
      </c>
      <c r="C10" s="100">
        <f>IF($B$15=0,0,B10/$B$15)</f>
        <v>0.697474390674673</v>
      </c>
      <c r="D10" s="26" t="inlineStr">
        <is>
          <t>Summe NUF 1–7 (Wohnen, Büro, Produktion, Lager, Bildung, Heilen, Sonstiges)</t>
        </is>
      </c>
      <c r="E10" s="16" t="n"/>
      <c r="F10" s="16" t="n"/>
      <c r="G10" s="17" t="n"/>
    </row>
    <row r="11" ht="22" customHeight="1">
      <c r="A11" s="126" t="inlineStr">
        <is>
          <t>Technikfläche (TF)</t>
        </is>
      </c>
      <c r="B11" s="99">
        <f>C28</f>
        <v>13.96</v>
      </c>
      <c r="C11" s="100">
        <f>IF($B$15=0,0,B11/$B$15)</f>
        <v>0.0349287648651831</v>
      </c>
      <c r="D11" s="26" t="inlineStr">
        <is>
          <t>Heizung, Lüftung, Stromversorgung</t>
        </is>
      </c>
      <c r="E11" s="16" t="n"/>
      <c r="F11" s="16" t="n"/>
      <c r="G11" s="17" t="n"/>
    </row>
    <row r="12" ht="22" customHeight="1">
      <c r="A12" s="126" t="inlineStr">
        <is>
          <t>Verkehrsfläche (VF)</t>
        </is>
      </c>
      <c r="B12" s="99">
        <f>C29</f>
        <v>47</v>
      </c>
      <c r="C12" s="100">
        <f>IF($B$15=0,0,B12/$B$15)</f>
        <v>0.117596844460144</v>
      </c>
      <c r="D12" s="26" t="inlineStr">
        <is>
          <t>Flure, Treppenhäuser, Aufzüge, Eingänge</t>
        </is>
      </c>
      <c r="E12" s="16" t="n"/>
      <c r="F12" s="16" t="n"/>
      <c r="G12" s="17" t="n"/>
    </row>
    <row r="13" ht="22" customHeight="1">
      <c r="A13" s="122" t="inlineStr">
        <is>
          <t>Netto-Raumfläche (NRF)</t>
        </is>
      </c>
      <c r="B13" s="102">
        <f>B10+B11+B12</f>
        <v>339.72</v>
      </c>
      <c r="C13" s="103">
        <f>IF($B$15=0,0,B13/$B$15)</f>
        <v>0.85</v>
      </c>
      <c r="D13" s="104" t="inlineStr">
        <is>
          <t>alle nutzbaren Grundflächen</t>
        </is>
      </c>
      <c r="E13" s="16" t="n"/>
      <c r="F13" s="16" t="n"/>
      <c r="G13" s="17" t="n"/>
    </row>
    <row r="14" ht="28" customHeight="1">
      <c r="A14" s="126" t="inlineStr">
        <is>
          <t>Konstruktions-Grundfläche (KGF)</t>
        </is>
      </c>
      <c r="B14" s="99">
        <f>IF(B17&gt;0,B17,IF(AND(B16&gt;=0,B16&lt;1),B13*B16/(1-B16),0))</f>
        <v>59.9505882352941</v>
      </c>
      <c r="C14" s="100">
        <f>IF($B$15=0,0,B14/$B$15)</f>
        <v>0.15</v>
      </c>
      <c r="D14" s="26" t="inlineStr">
        <is>
          <t>gemessen (B17) oder aus KGF-Anteil an der BGF geschätzt</t>
        </is>
      </c>
      <c r="E14" s="16" t="n"/>
      <c r="F14" s="16" t="n"/>
      <c r="G14" s="17" t="n"/>
    </row>
    <row r="15" ht="22" customHeight="1">
      <c r="A15" s="105" t="inlineStr">
        <is>
          <t>Brutto-Grundfläche (BGF)</t>
        </is>
      </c>
      <c r="B15" s="106">
        <f>B13+B14</f>
        <v>399.670588235294</v>
      </c>
      <c r="C15" s="107">
        <f>IF($B$15=0,0,B15/$B$15)</f>
        <v>1</v>
      </c>
      <c r="D15" s="108" t="inlineStr">
        <is>
          <t>Summe aller Grundflächen des Bauwerks</t>
        </is>
      </c>
      <c r="E15" s="16" t="n"/>
      <c r="F15" s="16" t="n"/>
      <c r="G15" s="17" t="n"/>
    </row>
    <row r="16" ht="22" customHeight="1">
      <c r="A16" s="126" t="inlineStr">
        <is>
          <t>KGF-Anteil an der BGF (Annahme, typ. 10–20 %)</t>
        </is>
      </c>
      <c r="B16" s="109" t="n">
        <v>0.15</v>
      </c>
      <c r="D16" s="110" t="inlineStr">
        <is>
          <t>Ohne Messwert wird die KGF aus dem Anteil geschätzt.</t>
        </is>
      </c>
    </row>
    <row r="17" ht="22" customHeight="1">
      <c r="A17" s="126" t="inlineStr">
        <is>
          <t>KGF gemessen (optional, m²)</t>
        </is>
      </c>
      <c r="B17" s="111" t="n"/>
      <c r="D17" s="110" t="inlineStr">
        <is>
          <t>Ein Messwert &gt; 0 überschreibt die Schätzung.</t>
        </is>
      </c>
    </row>
    <row r="19" ht="24" customHeight="1">
      <c r="A19" s="118" t="inlineStr">
        <is>
          <t>2  Summen je Nutzungsart</t>
        </is>
      </c>
    </row>
    <row r="20" ht="44" customHeight="1">
      <c r="A20" s="18" t="inlineStr">
        <is>
          <t>Nutzungsart</t>
        </is>
      </c>
      <c r="B20" s="18" t="inlineStr">
        <is>
          <t>Räume (Anzahl)</t>
        </is>
      </c>
      <c r="C20" s="18" t="inlineStr">
        <is>
          <t>Fläche DIN 277 (m²)</t>
        </is>
      </c>
      <c r="D20" s="18" t="inlineStr">
        <is>
          <t>Anteil an NRF</t>
        </is>
      </c>
      <c r="E20" s="18" t="inlineStr">
        <is>
          <t>Fläche WoFlV (m²)</t>
        </is>
      </c>
      <c r="F20" s="18" t="inlineStr">
        <is>
          <t>Differenz (m²)</t>
        </is>
      </c>
      <c r="G20" s="18" t="inlineStr">
        <is>
          <t>Anteil WoFlV</t>
        </is>
      </c>
    </row>
    <row r="21" ht="20" customHeight="1">
      <c r="A21" s="126" t="inlineStr">
        <is>
          <t>NUF 1 – Wohnen und Aufenthalt</t>
        </is>
      </c>
      <c r="B21" s="112">
        <f>COUNTIFS(Raumerfassung!$E$8:$E$67,$A21)</f>
        <v>11</v>
      </c>
      <c r="C21" s="99">
        <f>SUMIFS(Raumerfassung!$K$8:$K$67,Raumerfassung!$E$8:$E$67,$A21)</f>
        <v>137.24</v>
      </c>
      <c r="D21" s="100">
        <f>IF($C$30=0,0,C21/$C$30)</f>
        <v>0.403979748027788</v>
      </c>
      <c r="E21" s="99">
        <f>SUMIFS(Raumerfassung!$M$8:$M$67,Raumerfassung!$E$8:$E$67,$A21)</f>
        <v>115.94</v>
      </c>
      <c r="F21" s="99">
        <f>C21-E21</f>
        <v>21.3</v>
      </c>
      <c r="G21" s="100">
        <f>IF($E$30=0,0,E21/$E$30)</f>
        <v>0.463093145869947</v>
      </c>
    </row>
    <row r="22" ht="20" customHeight="1">
      <c r="A22" s="126" t="inlineStr">
        <is>
          <t>NUF 2 – Büroarbeit</t>
        </is>
      </c>
      <c r="B22" s="112">
        <f>COUNTIFS(Raumerfassung!$E$8:$E$67,$A22)</f>
        <v>3</v>
      </c>
      <c r="C22" s="99">
        <f>SUMIFS(Raumerfassung!$K$8:$K$67,Raumerfassung!$E$8:$E$67,$A22)</f>
        <v>48.2</v>
      </c>
      <c r="D22" s="100">
        <f>IF($C$30=0,0,C22/$C$30)</f>
        <v>0.141881549511362</v>
      </c>
      <c r="E22" s="99">
        <f>SUMIFS(Raumerfassung!$M$8:$M$67,Raumerfassung!$E$8:$E$67,$A22)</f>
        <v>48.2</v>
      </c>
      <c r="F22" s="99">
        <f>C22-E22</f>
        <v>0</v>
      </c>
      <c r="G22" s="100">
        <f>IF($E$30=0,0,E22/$E$30)</f>
        <v>0.19252276721521</v>
      </c>
    </row>
    <row r="23" ht="20" customHeight="1">
      <c r="A23" s="126" t="inlineStr">
        <is>
          <t>NUF 3 – Produktion</t>
        </is>
      </c>
      <c r="B23" s="112">
        <f>COUNTIFS(Raumerfassung!$E$8:$E$67,$A23)</f>
        <v>1</v>
      </c>
      <c r="C23" s="99">
        <f>SUMIFS(Raumerfassung!$K$8:$K$67,Raumerfassung!$E$8:$E$67,$A23)</f>
        <v>20</v>
      </c>
      <c r="D23" s="100">
        <f>IF($C$30=0,0,C23/$C$30)</f>
        <v>0.0588720122453785</v>
      </c>
      <c r="E23" s="99">
        <f>SUMIFS(Raumerfassung!$M$8:$M$67,Raumerfassung!$E$8:$E$67,$A23)</f>
        <v>20</v>
      </c>
      <c r="F23" s="99">
        <f>C23-E23</f>
        <v>0</v>
      </c>
      <c r="G23" s="100">
        <f>IF($E$30=0,0,E23/$E$30)</f>
        <v>0.0798849656494648</v>
      </c>
    </row>
    <row r="24" ht="20" customHeight="1">
      <c r="A24" s="126" t="inlineStr">
        <is>
          <t>NUF 4 – Lagern und Verteilen</t>
        </is>
      </c>
      <c r="B24" s="112">
        <f>COUNTIFS(Raumerfassung!$E$8:$E$67,$A24)</f>
        <v>1</v>
      </c>
      <c r="C24" s="99">
        <f>SUMIFS(Raumerfassung!$K$8:$K$67,Raumerfassung!$E$8:$E$67,$A24)</f>
        <v>12</v>
      </c>
      <c r="D24" s="100">
        <f>IF($C$30=0,0,C24/$C$30)</f>
        <v>0.0353232073472271</v>
      </c>
      <c r="E24" s="99">
        <f>SUMIFS(Raumerfassung!$M$8:$M$67,Raumerfassung!$E$8:$E$67,$A24)</f>
        <v>12</v>
      </c>
      <c r="F24" s="99">
        <f>C24-E24</f>
        <v>0</v>
      </c>
      <c r="G24" s="100">
        <f>IF($E$30=0,0,E24/$E$30)</f>
        <v>0.0479309793896789</v>
      </c>
    </row>
    <row r="25" ht="20" customHeight="1">
      <c r="A25" s="126" t="inlineStr">
        <is>
          <t>NUF 5 – Bildung und Kultur</t>
        </is>
      </c>
      <c r="B25" s="112">
        <f>COUNTIFS(Raumerfassung!$E$8:$E$67,$A25)</f>
        <v>1</v>
      </c>
      <c r="C25" s="99">
        <f>SUMIFS(Raumerfassung!$K$8:$K$67,Raumerfassung!$E$8:$E$67,$A25)</f>
        <v>22.5</v>
      </c>
      <c r="D25" s="100">
        <f>IF($C$30=0,0,C25/$C$30)</f>
        <v>0.0662310137760509</v>
      </c>
      <c r="E25" s="99">
        <f>SUMIFS(Raumerfassung!$M$8:$M$67,Raumerfassung!$E$8:$E$67,$A25)</f>
        <v>22.5</v>
      </c>
      <c r="F25" s="99">
        <f>C25-E25</f>
        <v>0</v>
      </c>
      <c r="G25" s="100">
        <f>IF($E$30=0,0,E25/$E$30)</f>
        <v>0.0898705863556479</v>
      </c>
    </row>
    <row r="26" ht="20" customHeight="1">
      <c r="A26" s="126" t="inlineStr">
        <is>
          <t>NUF 6 – Heilen und Pflegen</t>
        </is>
      </c>
      <c r="B26" s="112">
        <f>COUNTIFS(Raumerfassung!$E$8:$E$67,$A26)</f>
        <v>1</v>
      </c>
      <c r="C26" s="99">
        <f>SUMIFS(Raumerfassung!$K$8:$K$67,Raumerfassung!$E$8:$E$67,$A26)</f>
        <v>10.5</v>
      </c>
      <c r="D26" s="100">
        <f>IF($C$30=0,0,C26/$C$30)</f>
        <v>0.0309078064288237</v>
      </c>
      <c r="E26" s="99">
        <f>SUMIFS(Raumerfassung!$M$8:$M$67,Raumerfassung!$E$8:$E$67,$A26)</f>
        <v>10.5</v>
      </c>
      <c r="F26" s="99">
        <f>C26-E26</f>
        <v>0</v>
      </c>
      <c r="G26" s="100">
        <f>IF($E$30=0,0,E26/$E$30)</f>
        <v>0.041939606965969</v>
      </c>
    </row>
    <row r="27" ht="20" customHeight="1">
      <c r="A27" s="126" t="inlineStr">
        <is>
          <t>NUF 7 – Sonstige Nutzungen</t>
        </is>
      </c>
      <c r="B27" s="112">
        <f>COUNTIFS(Raumerfassung!$E$8:$E$67,$A27)</f>
        <v>5</v>
      </c>
      <c r="C27" s="99">
        <f>SUMIFS(Raumerfassung!$K$8:$K$67,Raumerfassung!$E$8:$E$67,$A27)</f>
        <v>28.32</v>
      </c>
      <c r="D27" s="100">
        <f>IF($C$30=0,0,C27/$C$30)</f>
        <v>0.083362769339456</v>
      </c>
      <c r="E27" s="99">
        <f>SUMIFS(Raumerfassung!$M$8:$M$67,Raumerfassung!$E$8:$E$67,$A27)</f>
        <v>15.82</v>
      </c>
      <c r="F27" s="99">
        <f>C27-E27</f>
        <v>12.5</v>
      </c>
      <c r="G27" s="100">
        <f>IF($E$30=0,0,E27/$E$30)</f>
        <v>0.0631890078287266</v>
      </c>
    </row>
    <row r="28" ht="20" customHeight="1">
      <c r="A28" s="126" t="inlineStr">
        <is>
          <t>TF – Technikfläche</t>
        </is>
      </c>
      <c r="B28" s="112">
        <f>COUNTIFS(Raumerfassung!$E$8:$E$67,$A28)</f>
        <v>2</v>
      </c>
      <c r="C28" s="99">
        <f>SUMIFS(Raumerfassung!$K$8:$K$67,Raumerfassung!$E$8:$E$67,$A28)</f>
        <v>13.96</v>
      </c>
      <c r="D28" s="100">
        <f>IF($C$30=0,0,C28/$C$30)</f>
        <v>0.0410926645472742</v>
      </c>
      <c r="E28" s="99">
        <f>SUMIFS(Raumerfassung!$M$8:$M$67,Raumerfassung!$E$8:$E$67,$A28)</f>
        <v>0</v>
      </c>
      <c r="F28" s="99">
        <f>C28-E28</f>
        <v>13.96</v>
      </c>
      <c r="G28" s="100">
        <f>IF($E$30=0,0,E28/$E$30)</f>
        <v>0</v>
      </c>
    </row>
    <row r="29" ht="20" customHeight="1">
      <c r="A29" s="126" t="inlineStr">
        <is>
          <t>VF – Verkehrsfläche</t>
        </is>
      </c>
      <c r="B29" s="112">
        <f>COUNTIFS(Raumerfassung!$E$8:$E$67,$A29)</f>
        <v>7</v>
      </c>
      <c r="C29" s="99">
        <f>SUMIFS(Raumerfassung!$K$8:$K$67,Raumerfassung!$E$8:$E$67,$A29)</f>
        <v>47</v>
      </c>
      <c r="D29" s="100">
        <f>IF($C$30=0,0,C29/$C$30)</f>
        <v>0.13834922877664</v>
      </c>
      <c r="E29" s="99">
        <f>SUMIFS(Raumerfassung!$M$8:$M$67,Raumerfassung!$E$8:$E$67,$A29)</f>
        <v>5.4</v>
      </c>
      <c r="F29" s="99">
        <f>C29-E29</f>
        <v>41.6</v>
      </c>
      <c r="G29" s="100">
        <f>IF($E$30=0,0,E29/$E$30)</f>
        <v>0.0215689407253555</v>
      </c>
    </row>
    <row r="30" ht="24" customHeight="1">
      <c r="A30" s="122" t="inlineStr">
        <is>
          <t>Summe = Netto-Raumfläche (NRF)</t>
        </is>
      </c>
      <c r="B30" s="113">
        <f>SUM(B21:B29)</f>
        <v>32</v>
      </c>
      <c r="C30" s="102">
        <f>SUM(C21:C29)</f>
        <v>339.72</v>
      </c>
      <c r="D30" s="114">
        <f>SUM(D21:D29)</f>
        <v>1</v>
      </c>
      <c r="E30" s="102">
        <f>SUM(E21:E29)</f>
        <v>250.36</v>
      </c>
      <c r="F30" s="102">
        <f>SUM(F21:F29)</f>
        <v>89.36</v>
      </c>
      <c r="G30" s="114">
        <f>SUM(G21:G29)</f>
        <v>1</v>
      </c>
    </row>
    <row r="32" ht="24" customHeight="1">
      <c r="A32" s="118" t="inlineStr">
        <is>
          <t>3  Summen je Geschoss</t>
        </is>
      </c>
    </row>
    <row r="33" ht="44" customHeight="1">
      <c r="A33" s="18" t="inlineStr">
        <is>
          <t>Geschoss</t>
        </is>
      </c>
      <c r="B33" s="18" t="inlineStr">
        <is>
          <t>Räume (Anzahl)</t>
        </is>
      </c>
      <c r="C33" s="18" t="inlineStr">
        <is>
          <t>Fläche DIN 277 (m²)</t>
        </is>
      </c>
      <c r="D33" s="18" t="inlineStr">
        <is>
          <t>Anteil an NRF</t>
        </is>
      </c>
      <c r="E33" s="18" t="inlineStr">
        <is>
          <t>Fläche WoFlV (m²)</t>
        </is>
      </c>
      <c r="F33" s="18" t="inlineStr">
        <is>
          <t>Differenz (m²)</t>
        </is>
      </c>
      <c r="G33" s="18" t="inlineStr">
        <is>
          <t>Anteil WoFlV</t>
        </is>
      </c>
    </row>
    <row r="34" ht="20" customHeight="1">
      <c r="A34" s="126" t="inlineStr">
        <is>
          <t>UG</t>
        </is>
      </c>
      <c r="B34" s="112">
        <f>COUNTIFS(Raumerfassung!$B$8:$B$67,$A34)</f>
        <v>5</v>
      </c>
      <c r="C34" s="99">
        <f>SUMIFS(Raumerfassung!$K$8:$K$67,Raumerfassung!$B$8:$B$67,$A34)</f>
        <v>34.26</v>
      </c>
      <c r="D34" s="100">
        <f>IF($C$30=0,0,C34/$C$30)</f>
        <v>0.100847756976333</v>
      </c>
      <c r="E34" s="99">
        <f>SUMIFS(Raumerfassung!$M$8:$M$67,Raumerfassung!$B$8:$B$67,$A34)</f>
        <v>0</v>
      </c>
      <c r="F34" s="99">
        <f>C34-E34</f>
        <v>34.26</v>
      </c>
      <c r="G34" s="100">
        <f>IF($E$30=0,0,E34/$E$30)</f>
        <v>0</v>
      </c>
    </row>
    <row r="35" ht="20" customHeight="1">
      <c r="A35" s="126" t="inlineStr">
        <is>
          <t>EG</t>
        </is>
      </c>
      <c r="B35" s="112">
        <f>COUNTIFS(Raumerfassung!$B$8:$B$67,$A35)</f>
        <v>10</v>
      </c>
      <c r="C35" s="99">
        <f>SUMIFS(Raumerfassung!$K$8:$K$67,Raumerfassung!$B$8:$B$67,$A35)</f>
        <v>124.8</v>
      </c>
      <c r="D35" s="100">
        <f>IF($C$30=0,0,C35/$C$30)</f>
        <v>0.367361356411162</v>
      </c>
      <c r="E35" s="99">
        <f>SUMIFS(Raumerfassung!$M$8:$M$67,Raumerfassung!$B$8:$B$67,$A35)</f>
        <v>106.6</v>
      </c>
      <c r="F35" s="99">
        <f>C35-E35</f>
        <v>18.2</v>
      </c>
      <c r="G35" s="100">
        <f>IF($E$30=0,0,E35/$E$30)</f>
        <v>0.425786866911647</v>
      </c>
    </row>
    <row r="36" ht="20" customHeight="1">
      <c r="A36" s="126" t="inlineStr">
        <is>
          <t>1. OG</t>
        </is>
      </c>
      <c r="B36" s="112">
        <f>COUNTIFS(Raumerfassung!$B$8:$B$67,$A36)</f>
        <v>8</v>
      </c>
      <c r="C36" s="99">
        <f>SUMIFS(Raumerfassung!$K$8:$K$67,Raumerfassung!$B$8:$B$67,$A36)</f>
        <v>83.22</v>
      </c>
      <c r="D36" s="100">
        <f>IF($C$30=0,0,C36/$C$30)</f>
        <v>0.24496644295302</v>
      </c>
      <c r="E36" s="99">
        <f>SUMIFS(Raumerfassung!$M$8:$M$67,Raumerfassung!$B$8:$B$67,$A36)</f>
        <v>72.72</v>
      </c>
      <c r="F36" s="99">
        <f>C36-E36</f>
        <v>10.5</v>
      </c>
      <c r="G36" s="100">
        <f>IF($E$30=0,0,E36/$E$30)</f>
        <v>0.290461735101454</v>
      </c>
    </row>
    <row r="37" ht="20" customHeight="1">
      <c r="A37" s="126" t="inlineStr">
        <is>
          <t>2. OG</t>
        </is>
      </c>
      <c r="B37" s="112">
        <f>COUNTIFS(Raumerfassung!$B$8:$B$67,$A37)</f>
        <v>0</v>
      </c>
      <c r="C37" s="99">
        <f>SUMIFS(Raumerfassung!$K$8:$K$67,Raumerfassung!$B$8:$B$67,$A37)</f>
        <v>0</v>
      </c>
      <c r="D37" s="100">
        <f>IF($C$30=0,0,C37/$C$30)</f>
        <v>0</v>
      </c>
      <c r="E37" s="99">
        <f>SUMIFS(Raumerfassung!$M$8:$M$67,Raumerfassung!$B$8:$B$67,$A37)</f>
        <v>0</v>
      </c>
      <c r="F37" s="99">
        <f>C37-E37</f>
        <v>0</v>
      </c>
      <c r="G37" s="100">
        <f>IF($E$30=0,0,E37/$E$30)</f>
        <v>0</v>
      </c>
    </row>
    <row r="38" ht="20" customHeight="1">
      <c r="A38" s="126" t="inlineStr">
        <is>
          <t>DG</t>
        </is>
      </c>
      <c r="B38" s="112">
        <f>COUNTIFS(Raumerfassung!$B$8:$B$67,$A38)</f>
        <v>9</v>
      </c>
      <c r="C38" s="99">
        <f>SUMIFS(Raumerfassung!$K$8:$K$67,Raumerfassung!$B$8:$B$67,$A38)</f>
        <v>97.44</v>
      </c>
      <c r="D38" s="100">
        <f>IF($C$30=0,0,C38/$C$30)</f>
        <v>0.286824443659484</v>
      </c>
      <c r="E38" s="99">
        <f>SUMIFS(Raumerfassung!$M$8:$M$67,Raumerfassung!$B$8:$B$67,$A38)</f>
        <v>71.04</v>
      </c>
      <c r="F38" s="99">
        <f>C38-E38</f>
        <v>26.4</v>
      </c>
      <c r="G38" s="100">
        <f>IF($E$30=0,0,E38/$E$30)</f>
        <v>0.283751397986899</v>
      </c>
    </row>
    <row r="39" ht="20" customHeight="1">
      <c r="A39" s="126" t="inlineStr">
        <is>
          <t>Außenbereich</t>
        </is>
      </c>
      <c r="B39" s="112">
        <f>COUNTIFS(Raumerfassung!$B$8:$B$67,$A39)</f>
        <v>0</v>
      </c>
      <c r="C39" s="99">
        <f>SUMIFS(Raumerfassung!$K$8:$K$67,Raumerfassung!$B$8:$B$67,$A39)</f>
        <v>0</v>
      </c>
      <c r="D39" s="100">
        <f>IF($C$30=0,0,C39/$C$30)</f>
        <v>0</v>
      </c>
      <c r="E39" s="99">
        <f>SUMIFS(Raumerfassung!$M$8:$M$67,Raumerfassung!$B$8:$B$67,$A39)</f>
        <v>0</v>
      </c>
      <c r="F39" s="99">
        <f>C39-E39</f>
        <v>0</v>
      </c>
      <c r="G39" s="100">
        <f>IF($E$30=0,0,E39/$E$30)</f>
        <v>0</v>
      </c>
    </row>
    <row r="40" ht="24" customHeight="1">
      <c r="A40" s="122" t="inlineStr">
        <is>
          <t>Summe</t>
        </is>
      </c>
      <c r="B40" s="113">
        <f>SUM(B34:B39)</f>
        <v>32</v>
      </c>
      <c r="C40" s="102">
        <f>SUM(C34:C39)</f>
        <v>339.72</v>
      </c>
      <c r="D40" s="114">
        <f>SUM(D34:D39)</f>
        <v>1</v>
      </c>
      <c r="E40" s="102">
        <f>SUM(E34:E39)</f>
        <v>250.36</v>
      </c>
      <c r="F40" s="102">
        <f>SUM(F34:F39)</f>
        <v>89.36</v>
      </c>
      <c r="G40" s="114">
        <f>SUM(G34:G39)</f>
        <v>1</v>
      </c>
    </row>
    <row r="42" ht="24" customHeight="1">
      <c r="A42" s="118" t="inlineStr">
        <is>
          <t>4  Summen je Bereich / Einheit (Bereichsnamen sind Eingabe und speisen das Dropdown in der Raumerfassung)</t>
        </is>
      </c>
    </row>
    <row r="43">
      <c r="A43" s="110" t="inlineStr">
        <is>
          <t>Namen in Spalte A frei vergeben (bis 10 Bereiche); leere Zeilen bleiben ausgeblendet.</t>
        </is>
      </c>
    </row>
    <row r="44" ht="44" customHeight="1">
      <c r="A44" s="18" t="inlineStr">
        <is>
          <t>Bereich / Einheit</t>
        </is>
      </c>
      <c r="B44" s="18" t="inlineStr">
        <is>
          <t>Räume (Anzahl)</t>
        </is>
      </c>
      <c r="C44" s="18" t="inlineStr">
        <is>
          <t>Fläche DIN 277 (m²)</t>
        </is>
      </c>
      <c r="D44" s="18" t="inlineStr">
        <is>
          <t>Anteil an NRF</t>
        </is>
      </c>
      <c r="E44" s="18" t="inlineStr">
        <is>
          <t>Fläche WoFlV (m²)</t>
        </is>
      </c>
      <c r="F44" s="18" t="inlineStr">
        <is>
          <t>Differenz (m²)</t>
        </is>
      </c>
      <c r="G44" s="18" t="inlineStr">
        <is>
          <t>Anteil WoFlV</t>
        </is>
      </c>
    </row>
    <row r="45" ht="20" customHeight="1">
      <c r="A45" s="115" t="inlineStr">
        <is>
          <t>Wohnung 1</t>
        </is>
      </c>
      <c r="B45" s="112">
        <f>IF($A45="","",COUNTIFS(Raumerfassung!$C$8:$C$67,$A45))</f>
        <v>7</v>
      </c>
      <c r="C45" s="99">
        <f>IF($A45="","",SUMIFS(Raumerfassung!$K$8:$K$67,Raumerfassung!$C$8:$C$67,$A45))</f>
        <v>75.42</v>
      </c>
      <c r="D45" s="100">
        <f>IF(OR($A45="",$C$30=0),"",C45/$C$30)</f>
        <v>0.222006358177322</v>
      </c>
      <c r="E45" s="99">
        <f>IF($A45="","",SUMIFS(Raumerfassung!$M$8:$M$67,Raumerfassung!$C$8:$C$67,$A45))</f>
        <v>72.72</v>
      </c>
      <c r="F45" s="99">
        <f>IF($A45="","",C45-E45)</f>
        <v>2.7</v>
      </c>
      <c r="G45" s="100">
        <f>IF(OR($A45="",$E$30=0),"",E45/$E$30)</f>
        <v>0.290461735101454</v>
      </c>
    </row>
    <row r="46" ht="20" customHeight="1">
      <c r="A46" s="115" t="inlineStr">
        <is>
          <t>Wohnung 2</t>
        </is>
      </c>
      <c r="B46" s="112">
        <f>IF($A46="","",COUNTIFS(Raumerfassung!$C$8:$C$67,$A46))</f>
        <v>8</v>
      </c>
      <c r="C46" s="99">
        <f>IF($A46="","",SUMIFS(Raumerfassung!$K$8:$K$67,Raumerfassung!$C$8:$C$67,$A46))</f>
        <v>89.64</v>
      </c>
      <c r="D46" s="100">
        <f>IF(OR($A46="",$C$30=0),"",C46/$C$30)</f>
        <v>0.263864358883787</v>
      </c>
      <c r="E46" s="99">
        <f>IF($A46="","",SUMIFS(Raumerfassung!$M$8:$M$67,Raumerfassung!$C$8:$C$67,$A46))</f>
        <v>71.04</v>
      </c>
      <c r="F46" s="99">
        <f>IF($A46="","",C46-E46)</f>
        <v>18.6</v>
      </c>
      <c r="G46" s="100">
        <f>IF(OR($A46="",$E$30=0),"",E46/$E$30)</f>
        <v>0.283751397986899</v>
      </c>
    </row>
    <row r="47" ht="20" customHeight="1">
      <c r="A47" s="115" t="inlineStr">
        <is>
          <t>Gewerbe</t>
        </is>
      </c>
      <c r="B47" s="112">
        <f>IF($A47="","",COUNTIFS(Raumerfassung!$C$8:$C$67,$A47))</f>
        <v>7</v>
      </c>
      <c r="C47" s="99">
        <f>IF($A47="","",SUMIFS(Raumerfassung!$K$8:$K$67,Raumerfassung!$C$8:$C$67,$A47))</f>
        <v>106.6</v>
      </c>
      <c r="D47" s="100">
        <f>IF(OR($A47="",$C$30=0),"",C47/$C$30)</f>
        <v>0.313787825267868</v>
      </c>
      <c r="E47" s="99">
        <f>IF($A47="","",SUMIFS(Raumerfassung!$M$8:$M$67,Raumerfassung!$C$8:$C$67,$A47))</f>
        <v>106.6</v>
      </c>
      <c r="F47" s="99">
        <f>IF($A47="","",C47-E47)</f>
        <v>0</v>
      </c>
      <c r="G47" s="100">
        <f>IF(OR($A47="",$E$30=0),"",E47/$E$30)</f>
        <v>0.425786866911647</v>
      </c>
    </row>
    <row r="48" ht="20" customHeight="1">
      <c r="A48" s="115" t="inlineStr">
        <is>
          <t>Keller/Technik</t>
        </is>
      </c>
      <c r="B48" s="112">
        <f>IF($A48="","",COUNTIFS(Raumerfassung!$C$8:$C$67,$A48))</f>
        <v>4</v>
      </c>
      <c r="C48" s="99">
        <f>IF($A48="","",SUMIFS(Raumerfassung!$K$8:$K$67,Raumerfassung!$C$8:$C$67,$A48))</f>
        <v>26.46</v>
      </c>
      <c r="D48" s="100">
        <f>IF(OR($A48="",$C$30=0),"",C48/$C$30)</f>
        <v>0.0778876722006358</v>
      </c>
      <c r="E48" s="99">
        <f>IF($A48="","",SUMIFS(Raumerfassung!$M$8:$M$67,Raumerfassung!$C$8:$C$67,$A48))</f>
        <v>0</v>
      </c>
      <c r="F48" s="99">
        <f>IF($A48="","",C48-E48)</f>
        <v>26.46</v>
      </c>
      <c r="G48" s="100">
        <f>IF(OR($A48="",$E$30=0),"",E48/$E$30)</f>
        <v>0</v>
      </c>
    </row>
    <row r="49" ht="20" customHeight="1">
      <c r="A49" s="115" t="inlineStr">
        <is>
          <t>Allgemeinflächen</t>
        </is>
      </c>
      <c r="B49" s="112">
        <f>IF($A49="","",COUNTIFS(Raumerfassung!$C$8:$C$67,$A49))</f>
        <v>6</v>
      </c>
      <c r="C49" s="99">
        <f>IF($A49="","",SUMIFS(Raumerfassung!$K$8:$K$67,Raumerfassung!$C$8:$C$67,$A49))</f>
        <v>41.6</v>
      </c>
      <c r="D49" s="100">
        <f>IF(OR($A49="",$C$30=0),"",C49/$C$30)</f>
        <v>0.122453785470387</v>
      </c>
      <c r="E49" s="99">
        <f>IF($A49="","",SUMIFS(Raumerfassung!$M$8:$M$67,Raumerfassung!$C$8:$C$67,$A49))</f>
        <v>0</v>
      </c>
      <c r="F49" s="99">
        <f>IF($A49="","",C49-E49)</f>
        <v>41.6</v>
      </c>
      <c r="G49" s="100">
        <f>IF(OR($A49="",$E$30=0),"",E49/$E$30)</f>
        <v>0</v>
      </c>
    </row>
    <row r="50" ht="20" customHeight="1">
      <c r="A50" s="115" t="n"/>
      <c r="B50" s="112" t="str">
        <f>IF($A50="","",COUNTIFS(Raumerfassung!$C$8:$C$67,$A50))</f>
        <v/>
      </c>
      <c r="C50" s="99" t="str">
        <f>IF($A50="","",SUMIFS(Raumerfassung!$K$8:$K$67,Raumerfassung!$C$8:$C$67,$A50))</f>
        <v/>
      </c>
      <c r="D50" s="100" t="str">
        <f>IF(OR($A50="",$C$30=0),"",C50/$C$30)</f>
        <v/>
      </c>
      <c r="E50" s="99" t="str">
        <f>IF($A50="","",SUMIFS(Raumerfassung!$M$8:$M$67,Raumerfassung!$C$8:$C$67,$A50))</f>
        <v/>
      </c>
      <c r="F50" s="99" t="str">
        <f>IF($A50="","",C50-E50)</f>
        <v/>
      </c>
      <c r="G50" s="100" t="str">
        <f>IF(OR($A50="",$E$30=0),"",E50/$E$30)</f>
        <v/>
      </c>
    </row>
    <row r="51" ht="20" customHeight="1">
      <c r="A51" s="115" t="n"/>
      <c r="B51" s="112" t="str">
        <f>IF($A51="","",COUNTIFS(Raumerfassung!$C$8:$C$67,$A51))</f>
        <v/>
      </c>
      <c r="C51" s="99" t="str">
        <f>IF($A51="","",SUMIFS(Raumerfassung!$K$8:$K$67,Raumerfassung!$C$8:$C$67,$A51))</f>
        <v/>
      </c>
      <c r="D51" s="100" t="str">
        <f>IF(OR($A51="",$C$30=0),"",C51/$C$30)</f>
        <v/>
      </c>
      <c r="E51" s="99" t="str">
        <f>IF($A51="","",SUMIFS(Raumerfassung!$M$8:$M$67,Raumerfassung!$C$8:$C$67,$A51))</f>
        <v/>
      </c>
      <c r="F51" s="99" t="str">
        <f>IF($A51="","",C51-E51)</f>
        <v/>
      </c>
      <c r="G51" s="100" t="str">
        <f>IF(OR($A51="",$E$30=0),"",E51/$E$30)</f>
        <v/>
      </c>
    </row>
    <row r="52" ht="20" customHeight="1">
      <c r="A52" s="115" t="n"/>
      <c r="B52" s="112" t="str">
        <f>IF($A52="","",COUNTIFS(Raumerfassung!$C$8:$C$67,$A52))</f>
        <v/>
      </c>
      <c r="C52" s="99" t="str">
        <f>IF($A52="","",SUMIFS(Raumerfassung!$K$8:$K$67,Raumerfassung!$C$8:$C$67,$A52))</f>
        <v/>
      </c>
      <c r="D52" s="100" t="str">
        <f>IF(OR($A52="",$C$30=0),"",C52/$C$30)</f>
        <v/>
      </c>
      <c r="E52" s="99" t="str">
        <f>IF($A52="","",SUMIFS(Raumerfassung!$M$8:$M$67,Raumerfassung!$C$8:$C$67,$A52))</f>
        <v/>
      </c>
      <c r="F52" s="99" t="str">
        <f>IF($A52="","",C52-E52)</f>
        <v/>
      </c>
      <c r="G52" s="100" t="str">
        <f>IF(OR($A52="",$E$30=0),"",E52/$E$30)</f>
        <v/>
      </c>
    </row>
    <row r="53" ht="20" customHeight="1">
      <c r="A53" s="115" t="n"/>
      <c r="B53" s="112" t="str">
        <f>IF($A53="","",COUNTIFS(Raumerfassung!$C$8:$C$67,$A53))</f>
        <v/>
      </c>
      <c r="C53" s="99" t="str">
        <f>IF($A53="","",SUMIFS(Raumerfassung!$K$8:$K$67,Raumerfassung!$C$8:$C$67,$A53))</f>
        <v/>
      </c>
      <c r="D53" s="100" t="str">
        <f>IF(OR($A53="",$C$30=0),"",C53/$C$30)</f>
        <v/>
      </c>
      <c r="E53" s="99" t="str">
        <f>IF($A53="","",SUMIFS(Raumerfassung!$M$8:$M$67,Raumerfassung!$C$8:$C$67,$A53))</f>
        <v/>
      </c>
      <c r="F53" s="99" t="str">
        <f>IF($A53="","",C53-E53)</f>
        <v/>
      </c>
      <c r="G53" s="100" t="str">
        <f>IF(OR($A53="",$E$30=0),"",E53/$E$30)</f>
        <v/>
      </c>
    </row>
    <row r="54" ht="20" customHeight="1">
      <c r="A54" s="115" t="n"/>
      <c r="B54" s="112" t="str">
        <f>IF($A54="","",COUNTIFS(Raumerfassung!$C$8:$C$67,$A54))</f>
        <v/>
      </c>
      <c r="C54" s="99" t="str">
        <f>IF($A54="","",SUMIFS(Raumerfassung!$K$8:$K$67,Raumerfassung!$C$8:$C$67,$A54))</f>
        <v/>
      </c>
      <c r="D54" s="100" t="str">
        <f>IF(OR($A54="",$C$30=0),"",C54/$C$30)</f>
        <v/>
      </c>
      <c r="E54" s="99" t="str">
        <f>IF($A54="","",SUMIFS(Raumerfassung!$M$8:$M$67,Raumerfassung!$C$8:$C$67,$A54))</f>
        <v/>
      </c>
      <c r="F54" s="99" t="str">
        <f>IF($A54="","",C54-E54)</f>
        <v/>
      </c>
      <c r="G54" s="100" t="str">
        <f>IF(OR($A54="",$E$30=0),"",E54/$E$30)</f>
        <v/>
      </c>
    </row>
    <row r="55" ht="24" customHeight="1">
      <c r="A55" s="122" t="inlineStr">
        <is>
          <t>Summe</t>
        </is>
      </c>
      <c r="B55" s="113">
        <f>SUM(B45:B54)</f>
        <v>32</v>
      </c>
      <c r="C55" s="102">
        <f>SUM(C45:C54)</f>
        <v>339.72</v>
      </c>
      <c r="D55" s="114">
        <f>SUM(D45:D54)</f>
        <v>1</v>
      </c>
      <c r="E55" s="102">
        <f>SUM(E45:E54)</f>
        <v>250.36</v>
      </c>
      <c r="F55" s="102">
        <f>SUM(F45:F54)</f>
        <v>89.36</v>
      </c>
      <c r="G55" s="114">
        <f>SUM(G45:G54)</f>
        <v>1</v>
      </c>
    </row>
    <row r="56" ht="22" customHeight="1">
      <c r="A56" s="126" t="inlineStr">
        <is>
          <t>Kontrolle: nicht zugeordnete Fläche (m²)</t>
        </is>
      </c>
      <c r="B56" s="21" t="n"/>
      <c r="C56" s="116">
        <f>C30-C55</f>
        <v>0</v>
      </c>
      <c r="D56" s="126" t="str">
        <f>IF(ROUND(C56,2)=0,"OK – alle Räume zugeordnet","Prüfen: Bereich fehlt oder unbekannt")</f>
        <v>OK – alle Räume zugeordnet</v>
      </c>
      <c r="E56" s="16" t="n"/>
      <c r="F56" s="16" t="n"/>
      <c r="G56" s="17" t="n"/>
    </row>
  </sheetData>
  <mergeCells count="32">
    <mergeCell ref="A32:G32"/>
    <mergeCell ref="F4:G4"/>
    <mergeCell ref="D56:G56"/>
    <mergeCell ref="D9:G9"/>
    <mergeCell ref="J5:K5"/>
    <mergeCell ref="A8:G8"/>
    <mergeCell ref="D12:G12"/>
    <mergeCell ref="F6:G6"/>
    <mergeCell ref="D15:G15"/>
    <mergeCell ref="H4:I4"/>
    <mergeCell ref="A43:G43"/>
    <mergeCell ref="A19:G19"/>
    <mergeCell ref="A1:K1"/>
    <mergeCell ref="D14:G14"/>
    <mergeCell ref="D6:E6"/>
    <mergeCell ref="H6:I6"/>
    <mergeCell ref="J6:K6"/>
    <mergeCell ref="F5:G5"/>
    <mergeCell ref="D10:G10"/>
    <mergeCell ref="J4:K4"/>
    <mergeCell ref="A2:K2"/>
    <mergeCell ref="D4:E4"/>
    <mergeCell ref="D11:G11"/>
    <mergeCell ref="D13:G13"/>
    <mergeCell ref="B6:C6"/>
    <mergeCell ref="D17:G17"/>
    <mergeCell ref="B5:C5"/>
    <mergeCell ref="D5:E5"/>
    <mergeCell ref="D16:G16"/>
    <mergeCell ref="H5:I5"/>
    <mergeCell ref="B4:C4"/>
    <mergeCell ref="A42:G42"/>
  </mergeCells>
  <conditionalFormatting sqref="D56">
    <cfRule type="expression" priority="1" dxfId="1">
      <formula>ROUND($C$56,2)=0</formula>
    </cfRule>
    <cfRule type="expression" priority="2" dxfId="2">
      <formula>ROUND($C$56,2)&lt;&gt;0</formula>
    </cfRule>
  </conditionalFormatting>
  <conditionalFormatting sqref="D21:D29">
    <cfRule type="dataBar" priority="3">
      <dataBar showValue="1">
        <cfvo type="num" val="0"/>
        <cfvo type="num" val="1"/>
        <color rgb="0060A5FA"/>
      </dataBar>
    </cfRule>
  </conditionalFormatting>
  <conditionalFormatting sqref="D34:D39">
    <cfRule type="dataBar" priority="4">
      <dataBar showValue="1">
        <cfvo type="num" val="0"/>
        <cfvo type="num" val="1"/>
        <color rgb="0060A5FA"/>
      </dataBar>
    </cfRule>
  </conditionalFormatting>
  <conditionalFormatting sqref="D45:D54">
    <cfRule type="dataBar" priority="5">
      <dataBar showValue="1">
        <cfvo type="num" val="0"/>
        <cfvo type="num" val="1"/>
        <color rgb="0060A5FA"/>
      </dataBar>
    </cfRule>
  </conditionalFormatting>
  <conditionalFormatting sqref="G21:G29">
    <cfRule type="dataBar" priority="6">
      <dataBar showValue="1">
        <cfvo type="num" val="0"/>
        <cfvo type="num" val="1"/>
        <color rgb="0060A5FA"/>
      </dataBar>
    </cfRule>
  </conditionalFormatting>
  <conditionalFormatting sqref="C34:C39">
    <cfRule type="colorScale" priority="7">
      <colorScale>
        <cfvo type="min"/>
        <cfvo type="max"/>
        <color rgb="00FFFFFF"/>
        <color rgb="0086EFAC"/>
      </colorScale>
    </cfRule>
  </conditionalFormatting>
  <conditionalFormatting sqref="C45:C54">
    <cfRule type="colorScale" priority="8">
      <colorScale>
        <cfvo type="min"/>
        <cfvo type="max"/>
        <color rgb="00FFFFFF"/>
        <color rgb="0086EFAC"/>
      </colorScale>
    </cfRule>
  </conditionalFormatting>
  <conditionalFormatting sqref="F21:F29">
    <cfRule type="cellIs" priority="9" operator="greaterThan" dxfId="3">
      <formula>0</formula>
    </cfRule>
  </conditionalFormatting>
  <printOptions horizontalCentered="1"/>
  <pageMargins left="0.4" right="0.4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E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44" customWidth="1" min="5" max="5"/>
  </cols>
  <sheetData>
    <row r="1" ht="36" customHeight="1">
      <c r="A1" s="117" t="inlineStr">
        <is>
          <t>DIN 277 Flächenrechner</t>
        </is>
      </c>
    </row>
    <row r="2" ht="30" customHeight="1">
      <c r="A2" s="4" t="inlineStr">
        <is>
          <t>Länge, Breite, Flächenart und KGF-Anteil eingeben (blaue Felder) – Grundfläche, NRF, KGF und BGF werden automatisch berechnet.</t>
        </is>
      </c>
    </row>
    <row r="4" ht="24" customHeight="1">
      <c r="A4" s="118" t="inlineStr">
        <is>
          <t>1  Eingaben</t>
        </is>
      </c>
    </row>
    <row r="5" ht="22" customHeight="1">
      <c r="A5" s="126" t="inlineStr">
        <is>
          <t>Länge (m)</t>
        </is>
      </c>
      <c r="B5" s="52" t="n">
        <v>5.5</v>
      </c>
      <c r="C5" s="110" t="inlineStr">
        <is>
          <t>z. B. 5,5 – lichtes Maß</t>
        </is>
      </c>
    </row>
    <row r="6" ht="22" customHeight="1">
      <c r="A6" s="126" t="inlineStr">
        <is>
          <t>Breite (m)</t>
        </is>
      </c>
      <c r="B6" s="52" t="n">
        <v>4.2</v>
      </c>
      <c r="C6" s="110" t="inlineStr">
        <is>
          <t>z. B. 4,2 – lichtes Maß</t>
        </is>
      </c>
    </row>
    <row r="7" ht="22" customHeight="1">
      <c r="A7" s="126" t="inlineStr">
        <is>
          <t>Flächenart</t>
        </is>
      </c>
      <c r="B7" s="121" t="inlineStr">
        <is>
          <t>Wohnfläche</t>
        </is>
      </c>
      <c r="C7" s="110" t="inlineStr">
        <is>
          <t>Faktoren aus Blatt „Vergleich WoFlV“</t>
        </is>
      </c>
    </row>
    <row r="8" ht="22" customHeight="1">
      <c r="A8" s="126" t="inlineStr">
        <is>
          <t>Berechnungsmethode</t>
        </is>
      </c>
      <c r="B8" s="121" t="inlineStr">
        <is>
          <t>DIN 277</t>
        </is>
      </c>
      <c r="C8" s="110" t="inlineStr">
        <is>
          <t>DIN 277 oder WoFlV</t>
        </is>
      </c>
    </row>
    <row r="9" ht="22" customHeight="1">
      <c r="A9" s="126" t="inlineStr">
        <is>
          <t>KGF-Anteil (% der Grundfläche)</t>
        </is>
      </c>
      <c r="B9" s="10" t="n">
        <v>0.15</v>
      </c>
      <c r="C9" s="110" t="inlineStr">
        <is>
          <t>Beitrag: Vorgabe 15 %, typisch 10–20 %</t>
        </is>
      </c>
    </row>
    <row r="10" ht="22" customHeight="1">
      <c r="A10" s="126" t="inlineStr">
        <is>
          <t>Raumhöhe (m) – Zusatz</t>
        </is>
      </c>
      <c r="B10" s="52" t="n">
        <v>2.5</v>
      </c>
      <c r="C10" s="110" t="inlineStr">
        <is>
          <t>nur für die Rauminhalt-Näherung</t>
        </is>
      </c>
    </row>
    <row r="11">
      <c r="A11" s="110" t="inlineStr">
        <is>
          <t>Beispielwerte (Platzhalter aus dem Beitrag) – bitte überschreiben.</t>
        </is>
      </c>
    </row>
    <row r="12" ht="24" customHeight="1">
      <c r="A12" s="118" t="inlineStr">
        <is>
          <t>2  Ergebnis</t>
        </is>
      </c>
    </row>
    <row r="13" ht="22" customHeight="1">
      <c r="A13" s="122" t="inlineStr">
        <is>
          <t>Grundfläche (Länge × Breite)</t>
        </is>
      </c>
      <c r="B13" s="61">
        <f>IF(AND(B5&gt;0,B6&gt;0),B5*B6,0)</f>
        <v>23.1</v>
      </c>
      <c r="C13" s="110" t="inlineStr">
        <is>
          <t>=Länge×Breite</t>
        </is>
      </c>
    </row>
    <row r="14" ht="22" customHeight="1">
      <c r="A14" s="122" t="inlineStr">
        <is>
          <t>Anrechnungsfaktor</t>
        </is>
      </c>
      <c r="B14" s="13">
        <f>IFERROR(VLOOKUP($B$7,'Vergleich WoFlV'!$A$6:$C$15,IF($B$8="WoFlV",3,2),FALSE),0)</f>
        <v>1</v>
      </c>
      <c r="C14" s="110" t="inlineStr">
        <is>
          <t>Gewählte Methode und Flächenart</t>
        </is>
      </c>
    </row>
    <row r="15" ht="22" customHeight="1">
      <c r="A15" s="122" t="inlineStr">
        <is>
          <t>Anrechenbare Fläche (NRF)</t>
        </is>
      </c>
      <c r="B15" s="61">
        <f>B13*B14</f>
        <v>23.1</v>
      </c>
      <c r="C15" s="110" t="inlineStr">
        <is>
          <t>NRF = Grundfläche × Anrechnungsfaktor</t>
        </is>
      </c>
    </row>
    <row r="16" ht="22" customHeight="1">
      <c r="A16" s="122" t="inlineStr">
        <is>
          <t>Konstruktions-Grundfläche (KGF)</t>
        </is>
      </c>
      <c r="B16" s="61">
        <f>B13*B9</f>
        <v>3.465</v>
      </c>
      <c r="C16" s="110" t="inlineStr">
        <is>
          <t>KGF = Grundfläche × KGF-Anteil</t>
        </is>
      </c>
    </row>
    <row r="17" ht="28" customHeight="1">
      <c r="A17" s="14" t="inlineStr">
        <is>
          <t>Brutto-Grundfläche (BGF)</t>
        </is>
      </c>
      <c r="B17" s="62">
        <f>B15+B16</f>
        <v>26.565</v>
      </c>
      <c r="C17" s="110" t="inlineStr">
        <is>
          <t>BGF = NRF + KGF</t>
        </is>
      </c>
    </row>
    <row r="18" ht="22" customHeight="1">
      <c r="A18" s="122" t="inlineStr">
        <is>
          <t>Status</t>
        </is>
      </c>
      <c r="B18" s="126" t="str">
        <f>IF(OR(B5&lt;=0,B6&lt;=0),"Bitte gültige Maße eingeben.","Berechnung vollständig")</f>
        <v>Berechnung vollständig</v>
      </c>
      <c r="C18" s="16" t="n"/>
      <c r="D18" s="16" t="n"/>
      <c r="E18" s="17" t="n"/>
    </row>
    <row r="20" ht="24" customHeight="1">
      <c r="A20" s="118" t="inlineStr">
        <is>
          <t>3  Vergleich beider Methoden für dieselbe Fläche</t>
        </is>
      </c>
    </row>
    <row r="21" ht="24" customHeight="1">
      <c r="A21" s="18" t="inlineStr">
        <is>
          <t>Größe</t>
        </is>
      </c>
      <c r="B21" s="18" t="inlineStr">
        <is>
          <t>DIN 277</t>
        </is>
      </c>
      <c r="C21" s="18" t="inlineStr">
        <is>
          <t>WoFlV</t>
        </is>
      </c>
      <c r="D21" s="18" t="inlineStr">
        <is>
          <t>Differenz</t>
        </is>
      </c>
      <c r="E21" s="17" t="n"/>
    </row>
    <row r="22" ht="22" customHeight="1">
      <c r="A22" s="126" t="inlineStr">
        <is>
          <t>Anrechnungsfaktor</t>
        </is>
      </c>
      <c r="B22" s="54">
        <f>IFERROR(VLOOKUP($B$7,'Vergleich WoFlV'!$A$6:$C$15,2,FALSE),0)</f>
        <v>1</v>
      </c>
      <c r="C22" s="54">
        <f>IFERROR(VLOOKUP($B$7,'Vergleich WoFlV'!$A$6:$C$15,3,FALSE),0)</f>
        <v>1</v>
      </c>
      <c r="D22" s="63">
        <f>B22-C22</f>
        <v>0</v>
      </c>
      <c r="E22" s="17" t="n"/>
    </row>
    <row r="23" ht="22" customHeight="1">
      <c r="A23" s="126" t="inlineStr">
        <is>
          <t>Anrechenbare Fläche (NRF)</t>
        </is>
      </c>
      <c r="B23" s="64">
        <f>$B$13*B22</f>
        <v>23.1</v>
      </c>
      <c r="C23" s="64">
        <f>$B$13*C22</f>
        <v>23.1</v>
      </c>
      <c r="D23" s="116">
        <f>B23-C23</f>
        <v>0</v>
      </c>
      <c r="E23" s="17" t="n"/>
    </row>
    <row r="24" ht="22" customHeight="1">
      <c r="A24" s="126" t="inlineStr">
        <is>
          <t>Konstruktions-Grundfläche (KGF)</t>
        </is>
      </c>
      <c r="B24" s="64">
        <f>$B$13*$B$9</f>
        <v>3.465</v>
      </c>
      <c r="C24" s="64">
        <f>$B$13*$B$9</f>
        <v>3.465</v>
      </c>
      <c r="D24" s="116">
        <f>B24-C24</f>
        <v>0</v>
      </c>
      <c r="E24" s="17" t="n"/>
    </row>
    <row r="25" ht="22" customHeight="1">
      <c r="A25" s="126" t="inlineStr">
        <is>
          <t>Brutto-Grundfläche (BGF)</t>
        </is>
      </c>
      <c r="B25" s="64">
        <f>B23+B24</f>
        <v>26.565</v>
      </c>
      <c r="C25" s="64">
        <f>C23+C24</f>
        <v>26.565</v>
      </c>
      <c r="D25" s="116">
        <f>B25-C25</f>
        <v>0</v>
      </c>
      <c r="E25" s="17" t="n"/>
    </row>
    <row r="27" ht="24" customHeight="1">
      <c r="A27" s="118" t="inlineStr">
        <is>
          <t>4  Zusatz: Rauminhalt (Näherung, ergänzt)</t>
        </is>
      </c>
    </row>
    <row r="28" ht="22" customHeight="1">
      <c r="A28" s="126" t="inlineStr">
        <is>
          <t>Rauminhalt der Grundfläche (m³)</t>
        </is>
      </c>
      <c r="B28" s="66">
        <f>B13*B10</f>
        <v>57.75</v>
      </c>
      <c r="C28" s="110" t="inlineStr">
        <is>
          <t>= Grundfläche × Raumhöhe (grobe Näherung)</t>
        </is>
      </c>
    </row>
    <row r="29" ht="22" customHeight="1">
      <c r="A29" s="126" t="inlineStr">
        <is>
          <t>Brutto-Rauminhalt-Näherung (m³)</t>
        </is>
      </c>
      <c r="B29" s="66">
        <f>B17*B10</f>
        <v>66.4125</v>
      </c>
      <c r="C29" s="110" t="inlineStr">
        <is>
          <t>= BGF × Raumhöhe; ersetzt keine normgerechte BRI-Ermittlung</t>
        </is>
      </c>
    </row>
  </sheetData>
  <mergeCells count="26">
    <mergeCell ref="C16:E16"/>
    <mergeCell ref="C9:E9"/>
    <mergeCell ref="A11:E11"/>
    <mergeCell ref="A1:E1"/>
    <mergeCell ref="D22:E22"/>
    <mergeCell ref="D21:E21"/>
    <mergeCell ref="C8:E8"/>
    <mergeCell ref="C17:E17"/>
    <mergeCell ref="C7:E7"/>
    <mergeCell ref="A27:E27"/>
    <mergeCell ref="A12:E12"/>
    <mergeCell ref="B18:E18"/>
    <mergeCell ref="C28:E28"/>
    <mergeCell ref="C13:E13"/>
    <mergeCell ref="A2:E2"/>
    <mergeCell ref="C15:E15"/>
    <mergeCell ref="C6:E6"/>
    <mergeCell ref="D25:E25"/>
    <mergeCell ref="A4:E4"/>
    <mergeCell ref="C14:E14"/>
    <mergeCell ref="A20:E20"/>
    <mergeCell ref="C5:E5"/>
    <mergeCell ref="D24:E24"/>
    <mergeCell ref="D23:E23"/>
    <mergeCell ref="C29:E29"/>
    <mergeCell ref="C10:E10"/>
  </mergeCells>
  <conditionalFormatting sqref="B18">
    <cfRule type="expression" priority="1" dxfId="0">
      <formula>OR($B$5&lt;=0,$B$6&lt;=0)</formula>
    </cfRule>
  </conditionalFormatting>
  <dataValidations count="4">
    <dataValidation sqref="B7" showDropDown="0" showInputMessage="0" showErrorMessage="0" allowBlank="0" type="list">
      <formula1>='Vergleich WoFlV'!$A$6:$A$15</formula1>
    </dataValidation>
    <dataValidation sqref="B8" showDropDown="0" showInputMessage="0" showErrorMessage="0" allowBlank="0" type="list">
      <formula1>=Listen!$E$2:$E$3</formula1>
    </dataValidation>
    <dataValidation sqref="B5:B6 B10" showDropDown="0" showInputMessage="0" showErrorMessage="1" allowBlank="0" error="Bitte eine Zahl ≥ 0 eingeben." type="decimal" operator="greaterThanOrEqual">
      <formula1>0</formula1>
    </dataValidation>
    <dataValidation sqref="B9" showDropDown="0" showInputMessage="0" showErrorMessage="1" allowBlank="0" error="KGF-Anteil zwischen 0 % und 50 % eingeben." type="decimal" operator="between">
      <formula1>0</formula1>
      <formula2>0.5</formula2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E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42" customWidth="1" min="5" max="5"/>
  </cols>
  <sheetData>
    <row r="1" ht="36" customHeight="1">
      <c r="A1" s="117" t="inlineStr">
        <is>
          <t>DIN 277 vs. Wohnflächenverordnung (WoFlV)</t>
        </is>
      </c>
    </row>
    <row r="2" ht="30" customHeight="1">
      <c r="A2" s="4" t="inlineStr">
        <is>
          <t>Anrechnungsfaktoren (blau = Eingabe) steuern Raumerfassung und Rechner. Die richtige Norm hängt vom Anwendungsfall ab – immer dokumentieren, welche Norm und Plangrundlage gilt.</t>
        </is>
      </c>
    </row>
    <row r="4" ht="24" customHeight="1">
      <c r="A4" s="118" t="inlineStr">
        <is>
          <t>1  Anrechnungsfaktoren je Flächenart (Eingabe)</t>
        </is>
      </c>
    </row>
    <row r="5" ht="30" customHeight="1">
      <c r="A5" s="18" t="inlineStr">
        <is>
          <t>Flächenart</t>
        </is>
      </c>
      <c r="B5" s="18" t="inlineStr">
        <is>
          <t>DIN 277</t>
        </is>
      </c>
      <c r="C5" s="18" t="inlineStr">
        <is>
          <t>WoFlV</t>
        </is>
      </c>
      <c r="D5" s="18" t="inlineStr">
        <is>
          <t>Hinweis</t>
        </is>
      </c>
      <c r="E5" s="17" t="n"/>
    </row>
    <row r="6" ht="35" customHeight="1">
      <c r="A6" s="25" t="inlineStr">
        <is>
          <t>Wohnfläche</t>
        </is>
      </c>
      <c r="B6" s="10" t="n">
        <v>1</v>
      </c>
      <c r="C6" s="10" t="n">
        <v>1</v>
      </c>
      <c r="D6" s="26" t="inlineStr">
        <is>
          <t>Wohn-, Schlaf-, Kinder-, Esszimmer, Küche, Bad: 100 % nach lichten Maßen.</t>
        </is>
      </c>
      <c r="E6" s="17" t="n"/>
    </row>
    <row r="7" ht="50" customHeight="1">
      <c r="A7" s="25" t="inlineStr">
        <is>
          <t>Büro-/Gewerbefläche</t>
        </is>
      </c>
      <c r="B7" s="10" t="n">
        <v>1</v>
      </c>
      <c r="C7" s="10" t="n">
        <v>1</v>
      </c>
      <c r="D7" s="26" t="inlineStr">
        <is>
          <t>Wert aus dem Rechner des Beitrags (100 %). Die WoFlV gilt für Wohnraum – bei Gewerbe ggf. 0 % ansetzen.</t>
        </is>
      </c>
      <c r="E7" s="17" t="n"/>
    </row>
    <row r="8" ht="35" customHeight="1">
      <c r="A8" s="25" t="inlineStr">
        <is>
          <t>Flur in der Wohnung</t>
        </is>
      </c>
      <c r="B8" s="10" t="n">
        <v>1</v>
      </c>
      <c r="C8" s="10" t="n">
        <v>1</v>
      </c>
      <c r="D8" s="26" t="inlineStr">
        <is>
          <t>Flure innerhalb der Wohneinheit; bei DIN 277 als Verkehrsfläche separat auszuweisen.</t>
        </is>
      </c>
      <c r="E8" s="17" t="n"/>
    </row>
    <row r="9" ht="35" customHeight="1">
      <c r="A9" s="25" t="inlineStr">
        <is>
          <t>Dachschräge 1–2 m</t>
        </is>
      </c>
      <c r="B9" s="10" t="n">
        <v>1</v>
      </c>
      <c r="C9" s="10" t="n">
        <v>0.5</v>
      </c>
      <c r="D9" s="26" t="inlineStr">
        <is>
          <t>Lichte Höhe 1 bis 2 m: DIN 277 voll, WoFlV 50 % (prozentuale Höhenabschläge gehören zur WoFlV).</t>
        </is>
      </c>
      <c r="E9" s="17" t="n"/>
    </row>
    <row r="10" ht="20" customHeight="1">
      <c r="A10" s="25" t="inlineStr">
        <is>
          <t>Dachschräge unter 1 m</t>
        </is>
      </c>
      <c r="B10" s="10" t="n">
        <v>1</v>
      </c>
      <c r="C10" s="10" t="n">
        <v>0</v>
      </c>
      <c r="D10" s="26" t="inlineStr">
        <is>
          <t>Lichte Höhe unter 1 m: DIN 277 voll, WoFlV 0 %.</t>
        </is>
      </c>
      <c r="E10" s="17" t="n"/>
    </row>
    <row r="11" ht="35" customHeight="1">
      <c r="A11" s="25" t="inlineStr">
        <is>
          <t>Balkon/Terrasse</t>
        </is>
      </c>
      <c r="B11" s="10" t="n">
        <v>1</v>
      </c>
      <c r="C11" s="10" t="n">
        <v>0.5</v>
      </c>
      <c r="D11" s="26" t="inlineStr">
        <is>
          <t>DIN 277 100 %, WoFlV 25–50 % (Standard hier 50 %, frei änderbar).</t>
        </is>
      </c>
      <c r="E11" s="17" t="n"/>
    </row>
    <row r="12" ht="35" customHeight="1">
      <c r="A12" s="25" t="inlineStr">
        <is>
          <t>Balkon/Terrasse unbeheizt</t>
        </is>
      </c>
      <c r="B12" s="10" t="n">
        <v>1</v>
      </c>
      <c r="C12" s="10" t="n">
        <v>0.25</v>
      </c>
      <c r="D12" s="26" t="inlineStr">
        <is>
          <t>Unbeheizter Balkon: Ansatz 25 % nach Rechner des Beitrags.</t>
        </is>
      </c>
      <c r="E12" s="17" t="n"/>
    </row>
    <row r="13" ht="35" customHeight="1">
      <c r="A13" s="25" t="inlineStr">
        <is>
          <t>Kellerraum</t>
        </is>
      </c>
      <c r="B13" s="10" t="n">
        <v>1</v>
      </c>
      <c r="C13" s="10" t="n">
        <v>0</v>
      </c>
      <c r="D13" s="26" t="inlineStr">
        <is>
          <t>DIN 277 100 %, WoFlV 0 %. (Der Online-Rechner im Beitrag setzt Kellerraum mit 100 % an.)</t>
        </is>
      </c>
      <c r="E13" s="17" t="n"/>
    </row>
    <row r="14" ht="35" customHeight="1">
      <c r="A14" s="25" t="inlineStr">
        <is>
          <t>Technikfläche</t>
        </is>
      </c>
      <c r="B14" s="10" t="n">
        <v>1</v>
      </c>
      <c r="C14" s="10" t="n">
        <v>0</v>
      </c>
      <c r="D14" s="26" t="inlineStr">
        <is>
          <t>Heizungs-, Lüftungs-, Elektroräume: Technikfläche (TF), keine Wohnfläche.</t>
        </is>
      </c>
      <c r="E14" s="17" t="n"/>
    </row>
    <row r="15" ht="35" customHeight="1">
      <c r="A15" s="25" t="inlineStr">
        <is>
          <t>Verkehrsfläche Gemeinschaft</t>
        </is>
      </c>
      <c r="B15" s="10" t="n">
        <v>1</v>
      </c>
      <c r="C15" s="10" t="n">
        <v>0</v>
      </c>
      <c r="D15" s="26" t="inlineStr">
        <is>
          <t>Treppenhäuser, Aufzüge, Eingänge, gemeinschaftliche Flure: Verkehrsfläche (VF).</t>
        </is>
      </c>
      <c r="E15" s="17" t="n"/>
    </row>
    <row r="16" ht="20" customHeight="1">
      <c r="A16" s="110" t="inlineStr">
        <is>
          <t>Beispielwerte aus dem Beitrag; Prozentsätze sind frei änderbar (Balkon/Terrasse: 25–50 %).</t>
        </is>
      </c>
    </row>
    <row r="18" ht="24" customHeight="1">
      <c r="A18" s="118" t="inlineStr">
        <is>
          <t>2  Gegenüberstellung der beiden Berechnungsmethoden</t>
        </is>
      </c>
    </row>
    <row r="19" ht="30" customHeight="1">
      <c r="A19" s="18" t="inlineStr">
        <is>
          <t>Merkmal</t>
        </is>
      </c>
      <c r="B19" s="18" t="inlineStr">
        <is>
          <t>DIN 277</t>
        </is>
      </c>
      <c r="C19" s="17" t="n"/>
      <c r="D19" s="18" t="inlineStr">
        <is>
          <t>WoFlV</t>
        </is>
      </c>
      <c r="E19" s="17" t="n"/>
    </row>
    <row r="20" ht="20" customHeight="1">
      <c r="A20" s="27" t="inlineStr">
        <is>
          <t>Balkone/Terrassen</t>
        </is>
      </c>
      <c r="B20" s="28" t="inlineStr">
        <is>
          <t>100 %</t>
        </is>
      </c>
      <c r="C20" s="17" t="n"/>
      <c r="D20" s="28" t="inlineStr">
        <is>
          <t>25–50 %</t>
        </is>
      </c>
      <c r="E20" s="17" t="n"/>
    </row>
    <row r="21" ht="20" customHeight="1">
      <c r="A21" s="27" t="inlineStr">
        <is>
          <t>Kellerräume</t>
        </is>
      </c>
      <c r="B21" s="28" t="inlineStr">
        <is>
          <t>100 %</t>
        </is>
      </c>
      <c r="C21" s="17" t="n"/>
      <c r="D21" s="28" t="inlineStr">
        <is>
          <t>0 %</t>
        </is>
      </c>
      <c r="E21" s="17" t="n"/>
    </row>
    <row r="22" ht="20" customHeight="1">
      <c r="A22" s="27" t="inlineStr">
        <is>
          <t>Dachschrägen unter 1 m</t>
        </is>
      </c>
      <c r="B22" s="28" t="inlineStr">
        <is>
          <t>100 %</t>
        </is>
      </c>
      <c r="C22" s="17" t="n"/>
      <c r="D22" s="28" t="inlineStr">
        <is>
          <t>0 %</t>
        </is>
      </c>
      <c r="E22" s="17" t="n"/>
    </row>
    <row r="23" ht="35" customHeight="1">
      <c r="A23" s="27" t="inlineStr">
        <is>
          <t>Dachschrägen 1–2 m</t>
        </is>
      </c>
      <c r="B23" s="28" t="inlineStr">
        <is>
          <t>100 % (lichte Maße, keine Höhenabschläge)</t>
        </is>
      </c>
      <c r="C23" s="17" t="n"/>
      <c r="D23" s="28" t="inlineStr">
        <is>
          <t>50 %</t>
        </is>
      </c>
      <c r="E23" s="17" t="n"/>
    </row>
    <row r="24" ht="20" customHeight="1">
      <c r="A24" s="27" t="inlineStr">
        <is>
          <t>Flure/Verkehrsflächen</t>
        </is>
      </c>
      <c r="B24" s="28" t="inlineStr">
        <is>
          <t>separat ausgewiesen</t>
        </is>
      </c>
      <c r="C24" s="17" t="n"/>
      <c r="D24" s="28" t="inlineStr">
        <is>
          <t>—</t>
        </is>
      </c>
      <c r="E24" s="17" t="n"/>
    </row>
    <row r="25" ht="50" customHeight="1">
      <c r="A25" s="27" t="inlineStr">
        <is>
          <t>Anwendung</t>
        </is>
      </c>
      <c r="B25" s="28" t="inlineStr">
        <is>
          <t>Baukostenermittlung, Gewerbeimmobilien, Bauanträge, freier Wohnungsmarkt</t>
        </is>
      </c>
      <c r="C25" s="17" t="n"/>
      <c r="D25" s="28" t="inlineStr">
        <is>
          <t>Sozialer Wohnungsbau, Mietverträge, gerichtliche Streitfälle, Betriebskostenabrechnung</t>
        </is>
      </c>
      <c r="E25" s="17" t="n"/>
    </row>
    <row r="26" ht="20" customHeight="1">
      <c r="A26" s="27" t="inlineStr">
        <is>
          <t>Ergebnis</t>
        </is>
      </c>
      <c r="B26" s="28" t="inlineStr">
        <is>
          <t>Höhere Fläche</t>
        </is>
      </c>
      <c r="C26" s="17" t="n"/>
      <c r="D26" s="28" t="inlineStr">
        <is>
          <t>Geringere Fläche</t>
        </is>
      </c>
      <c r="E26" s="17" t="n"/>
    </row>
    <row r="27" ht="20" customHeight="1">
      <c r="A27" s="27" t="inlineStr">
        <is>
          <t>Vorteil</t>
        </is>
      </c>
      <c r="B27" s="28" t="inlineStr">
        <is>
          <t>Verkäufer/Vermieter</t>
        </is>
      </c>
      <c r="C27" s="17" t="n"/>
      <c r="D27" s="28" t="inlineStr">
        <is>
          <t>Käufer/Mieter</t>
        </is>
      </c>
      <c r="E27" s="17" t="n"/>
    </row>
    <row r="28" ht="35" customHeight="1">
      <c r="A28" s="27" t="inlineStr">
        <is>
          <t>Typische Abweichung</t>
        </is>
      </c>
      <c r="B28" s="28" t="inlineStr">
        <is>
          <t>bis zu 20 m² bei einem Einfamilienhaus</t>
        </is>
      </c>
      <c r="C28" s="17" t="n"/>
      <c r="D28" s="28" t="inlineStr">
        <is>
          <t>bis zu 40 % bei einer Penthouse-Wohnung</t>
        </is>
      </c>
      <c r="E28" s="17" t="n"/>
    </row>
    <row r="29" ht="40" customHeight="1">
      <c r="A29" s="29" t="inlineStr">
        <is>
          <t>Wichtiger Hinweis: Die DIN 277 kennt den Begriff „Wohnfläche“ nicht direkt. Sie ermittelt Nutz- und Verkehrsflächen. Für Mietverträge und den sozialen Wohnungsbau ist die Wohnflächenverordnung (WoFlV) die rechtlich relevante Grundlage.</t>
        </is>
      </c>
      <c r="B29" s="16" t="n"/>
      <c r="C29" s="16" t="n"/>
      <c r="D29" s="16" t="n"/>
      <c r="E29" s="17" t="n"/>
    </row>
    <row r="31" ht="24" customHeight="1">
      <c r="A31" s="118" t="inlineStr">
        <is>
          <t>3  Methoden-Finder: Wann welche Berechnungsmethode?</t>
        </is>
      </c>
    </row>
    <row r="32" ht="30" customHeight="1">
      <c r="A32" s="18" t="inlineStr">
        <is>
          <t>Anwendungsfall</t>
        </is>
      </c>
      <c r="B32" s="18" t="inlineStr">
        <is>
          <t>Empfohlene Methode</t>
        </is>
      </c>
      <c r="C32" s="17" t="n"/>
      <c r="D32" s="18" t="inlineStr">
        <is>
          <t>Hinweis</t>
        </is>
      </c>
      <c r="E32" s="17" t="n"/>
    </row>
    <row r="33" ht="35" customHeight="1">
      <c r="A33" s="25" t="inlineStr">
        <is>
          <t>Baukostenermittlung nach DIN 276</t>
        </is>
      </c>
      <c r="B33" s="28" t="inlineStr">
        <is>
          <t>DIN 277</t>
        </is>
      </c>
      <c r="C33" s="17" t="n"/>
      <c r="D33" s="26" t="inlineStr">
        <is>
          <t>Grundlage für die Kostenberechnung nach DIN 276.</t>
        </is>
      </c>
      <c r="E33" s="17" t="n"/>
    </row>
    <row r="34" ht="35" customHeight="1">
      <c r="A34" s="25" t="inlineStr">
        <is>
          <t>Mietvertrag Wohnraum</t>
        </is>
      </c>
      <c r="B34" s="28" t="inlineStr">
        <is>
          <t>WoFlV</t>
        </is>
      </c>
      <c r="C34" s="17" t="n"/>
      <c r="D34" s="26" t="inlineStr">
        <is>
          <t>Für Mietverträge im Wohnbereich rechtlich relevant.</t>
        </is>
      </c>
      <c r="E34" s="17" t="n"/>
    </row>
    <row r="35" ht="20" customHeight="1">
      <c r="A35" s="25" t="inlineStr">
        <is>
          <t>Gewerbeimmobilien</t>
        </is>
      </c>
      <c r="B35" s="28" t="inlineStr">
        <is>
          <t>DIN 277 / gif-Richtlinie</t>
        </is>
      </c>
      <c r="C35" s="17" t="n"/>
      <c r="D35" s="26" t="inlineStr">
        <is>
          <t>Mietflächenermittlung, besonders bei Gewerbe.</t>
        </is>
      </c>
      <c r="E35" s="17" t="n"/>
    </row>
    <row r="36" ht="20" customHeight="1">
      <c r="A36" s="25" t="inlineStr">
        <is>
          <t>Sozialer Wohnungsbau</t>
        </is>
      </c>
      <c r="B36" s="28" t="inlineStr">
        <is>
          <t>WoFlV (Pflicht)</t>
        </is>
      </c>
      <c r="C36" s="17" t="n"/>
      <c r="D36" s="26" t="inlineStr">
        <is>
          <t>Verbindliche Grundlage im sozialen Wohnungsbau.</t>
        </is>
      </c>
      <c r="E36" s="17" t="n"/>
    </row>
    <row r="37" ht="20" customHeight="1">
      <c r="A37" s="25" t="inlineStr">
        <is>
          <t>Bauantrag</t>
        </is>
      </c>
      <c r="B37" s="28" t="inlineStr">
        <is>
          <t>DIN 277</t>
        </is>
      </c>
      <c r="C37" s="17" t="n"/>
      <c r="D37" s="26" t="inlineStr">
        <is>
          <t>Dokumentation von Flächenangaben.</t>
        </is>
      </c>
      <c r="E37" s="17" t="n"/>
    </row>
    <row r="38" ht="20" customHeight="1">
      <c r="A38" s="25" t="inlineStr">
        <is>
          <t>Immobilienbewertung</t>
        </is>
      </c>
      <c r="B38" s="28" t="inlineStr">
        <is>
          <t>Beide möglich (dokumentieren!)</t>
        </is>
      </c>
      <c r="C38" s="17" t="n"/>
      <c r="D38" s="26" t="inlineStr">
        <is>
          <t>Angewandte Norm und Plangrundlage immer angeben.</t>
        </is>
      </c>
      <c r="E38" s="17" t="n"/>
    </row>
    <row r="39" ht="20" customHeight="1">
      <c r="A39" s="25" t="inlineStr">
        <is>
          <t>Bankfinanzierung</t>
        </is>
      </c>
      <c r="B39" s="28" t="inlineStr">
        <is>
          <t>WoFlV (meist gefordert)</t>
        </is>
      </c>
      <c r="C39" s="17" t="n"/>
      <c r="D39" s="26" t="inlineStr">
        <is>
          <t>Beleihungswertermittlung meist nach WoFlV.</t>
        </is>
      </c>
      <c r="E39" s="17" t="n"/>
    </row>
    <row r="41" ht="22" customHeight="1">
      <c r="A41" s="30" t="inlineStr">
        <is>
          <t>Anwendungsfall wählen:</t>
        </is>
      </c>
      <c r="B41" s="121" t="inlineStr">
        <is>
          <t>Mietvertrag Wohnraum</t>
        </is>
      </c>
      <c r="C41" s="17" t="n"/>
    </row>
    <row r="42" ht="22" customHeight="1">
      <c r="A42" s="30" t="inlineStr">
        <is>
          <t>Empfohlene Methode:</t>
        </is>
      </c>
      <c r="B42" s="31" t="str">
        <f>IFERROR(VLOOKUP(B41,$A$33:$B$39,2,FALSE),"bitte wählen")</f>
        <v>WoFlV</v>
      </c>
      <c r="C42" s="17" t="n"/>
    </row>
    <row r="44" ht="24" customHeight="1">
      <c r="A44" s="118" t="inlineStr">
        <is>
          <t>4  Praxisbeispiel: Penthouse-Wohnung mit großer Dachterrasse (Beispielwerte)</t>
        </is>
      </c>
    </row>
    <row r="45" ht="30" customHeight="1">
      <c r="A45" s="18" t="inlineStr">
        <is>
          <t>Flächenart (aus Tabelle 1)</t>
        </is>
      </c>
      <c r="B45" s="18" t="inlineStr">
        <is>
          <t>Grundfläche (m²)</t>
        </is>
      </c>
      <c r="C45" s="18" t="inlineStr">
        <is>
          <t>DIN 277 (m²)</t>
        </is>
      </c>
      <c r="D45" s="18" t="inlineStr">
        <is>
          <t>WoFlV (m²)</t>
        </is>
      </c>
      <c r="E45" s="18" t="inlineStr">
        <is>
          <t>Differenz (m²)</t>
        </is>
      </c>
    </row>
    <row r="46" ht="20" customHeight="1">
      <c r="A46" s="115" t="inlineStr">
        <is>
          <t>Wohnfläche</t>
        </is>
      </c>
      <c r="B46" s="111" t="n">
        <v>100</v>
      </c>
      <c r="C46" s="99">
        <f>B46*IFERROR(VLOOKUP($A46,$A$6:$C$15,2,FALSE),0)</f>
        <v>100</v>
      </c>
      <c r="D46" s="99">
        <f>B46*IFERROR(VLOOKUP($A46,$A$6:$C$15,3,FALSE),0)</f>
        <v>100</v>
      </c>
      <c r="E46" s="99">
        <f>C46-D46</f>
        <v>0</v>
      </c>
    </row>
    <row r="47" ht="20" customHeight="1">
      <c r="A47" s="115" t="inlineStr">
        <is>
          <t>Balkon/Terrasse</t>
        </is>
      </c>
      <c r="B47" s="111" t="n">
        <v>100</v>
      </c>
      <c r="C47" s="99">
        <f>B47*IFERROR(VLOOKUP($A47,$A$6:$C$15,2,FALSE),0)</f>
        <v>100</v>
      </c>
      <c r="D47" s="99">
        <f>B47*IFERROR(VLOOKUP($A47,$A$6:$C$15,3,FALSE),0)</f>
        <v>50</v>
      </c>
      <c r="E47" s="99">
        <f>C47-D47</f>
        <v>50</v>
      </c>
    </row>
    <row r="48" ht="20" customHeight="1">
      <c r="A48" s="115" t="inlineStr">
        <is>
          <t>Dachschräge unter 1 m</t>
        </is>
      </c>
      <c r="B48" s="111" t="n">
        <v>12</v>
      </c>
      <c r="C48" s="99">
        <f>B48*IFERROR(VLOOKUP($A48,$A$6:$C$15,2,FALSE),0)</f>
        <v>12</v>
      </c>
      <c r="D48" s="99">
        <f>B48*IFERROR(VLOOKUP($A48,$A$6:$C$15,3,FALSE),0)</f>
        <v>0</v>
      </c>
      <c r="E48" s="99">
        <f>C48-D48</f>
        <v>12</v>
      </c>
    </row>
    <row r="49" ht="20" customHeight="1">
      <c r="A49" s="115" t="inlineStr">
        <is>
          <t>Dachschräge 1–2 m</t>
        </is>
      </c>
      <c r="B49" s="111" t="n">
        <v>14</v>
      </c>
      <c r="C49" s="99">
        <f>B49*IFERROR(VLOOKUP($A49,$A$6:$C$15,2,FALSE),0)</f>
        <v>14</v>
      </c>
      <c r="D49" s="99">
        <f>B49*IFERROR(VLOOKUP($A49,$A$6:$C$15,3,FALSE),0)</f>
        <v>7</v>
      </c>
      <c r="E49" s="99">
        <f>C49-D49</f>
        <v>7</v>
      </c>
    </row>
    <row r="50" ht="20" customHeight="1">
      <c r="A50" s="122" t="inlineStr">
        <is>
          <t>Summe</t>
        </is>
      </c>
      <c r="B50" s="102">
        <f>SUM(B46:B49)</f>
        <v>226</v>
      </c>
      <c r="C50" s="102">
        <f>SUM(C46:C49)</f>
        <v>226</v>
      </c>
      <c r="D50" s="102">
        <f>SUM(D46:D49)</f>
        <v>157</v>
      </c>
      <c r="E50" s="102">
        <f>SUM(E46:E49)</f>
        <v>69</v>
      </c>
    </row>
    <row r="51" ht="20" customHeight="1">
      <c r="A51" s="124" t="inlineStr">
        <is>
          <t>Abweichung in % der DIN-277-Fläche</t>
        </is>
      </c>
      <c r="B51" s="21" t="n"/>
      <c r="C51" s="21" t="n"/>
      <c r="D51" s="21" t="n"/>
      <c r="E51" s="70">
        <f>IF(C50=0,0,E50/C50)</f>
        <v>0.305309734513274</v>
      </c>
    </row>
    <row r="52" ht="20" customHeight="1">
      <c r="A52" s="124" t="inlineStr">
        <is>
          <t>Differenz laut Beitrag (Praxisbeispiel)</t>
        </is>
      </c>
      <c r="B52" s="21" t="n"/>
      <c r="C52" s="21" t="n"/>
      <c r="D52" s="21" t="n"/>
      <c r="E52" s="71" t="n">
        <v>69</v>
      </c>
    </row>
    <row r="53" ht="20" customHeight="1">
      <c r="A53" s="124" t="inlineStr">
        <is>
          <t>Abgleich (Berechnung minus Beitrag)</t>
        </is>
      </c>
      <c r="B53" s="21" t="n"/>
      <c r="C53" s="21" t="n"/>
      <c r="D53" s="21" t="n"/>
      <c r="E53" s="99">
        <f>E50-E52</f>
        <v>0</v>
      </c>
    </row>
    <row r="54" ht="20" customHeight="1">
      <c r="A54" s="110" t="inlineStr">
        <is>
          <t>Beispielwerte, so gewählt, dass die Differenz dem im Beitrag genannten Fall (69 m²) entspricht. Zeilen 46–49 können überschrieben werden.</t>
        </is>
      </c>
    </row>
  </sheetData>
  <mergeCells count="58">
    <mergeCell ref="D20:E20"/>
    <mergeCell ref="D10:E10"/>
    <mergeCell ref="B25:C25"/>
    <mergeCell ref="D19:E19"/>
    <mergeCell ref="D34:E34"/>
    <mergeCell ref="B22:C22"/>
    <mergeCell ref="A1:E1"/>
    <mergeCell ref="D22:E22"/>
    <mergeCell ref="B27:C27"/>
    <mergeCell ref="D36:E36"/>
    <mergeCell ref="D21:E21"/>
    <mergeCell ref="B39:C39"/>
    <mergeCell ref="D6:E6"/>
    <mergeCell ref="B21:C21"/>
    <mergeCell ref="A16:E16"/>
    <mergeCell ref="A54:E54"/>
    <mergeCell ref="D11:E11"/>
    <mergeCell ref="D13:E13"/>
    <mergeCell ref="D27:E27"/>
    <mergeCell ref="B42:C42"/>
    <mergeCell ref="B23:C23"/>
    <mergeCell ref="D32:E32"/>
    <mergeCell ref="A18:E18"/>
    <mergeCell ref="B38:C38"/>
    <mergeCell ref="D7:E7"/>
    <mergeCell ref="A2:E2"/>
    <mergeCell ref="B19:C19"/>
    <mergeCell ref="B34:C34"/>
    <mergeCell ref="B37:C37"/>
    <mergeCell ref="B28:C28"/>
    <mergeCell ref="D37:E37"/>
    <mergeCell ref="D28:E28"/>
    <mergeCell ref="A44:E44"/>
    <mergeCell ref="D9:E9"/>
    <mergeCell ref="D12:E12"/>
    <mergeCell ref="D39:E39"/>
    <mergeCell ref="D8:E8"/>
    <mergeCell ref="D25:E25"/>
    <mergeCell ref="B24:C24"/>
    <mergeCell ref="A4:E4"/>
    <mergeCell ref="A29:E29"/>
    <mergeCell ref="D24:E24"/>
    <mergeCell ref="B33:C33"/>
    <mergeCell ref="B26:C26"/>
    <mergeCell ref="D15:E15"/>
    <mergeCell ref="D33:E33"/>
    <mergeCell ref="B20:C20"/>
    <mergeCell ref="D5:E5"/>
    <mergeCell ref="D23:E23"/>
    <mergeCell ref="D38:E38"/>
    <mergeCell ref="D14:E14"/>
    <mergeCell ref="B36:C36"/>
    <mergeCell ref="B32:C32"/>
    <mergeCell ref="A31:E31"/>
    <mergeCell ref="B41:C41"/>
    <mergeCell ref="D26:E26"/>
    <mergeCell ref="B35:C35"/>
    <mergeCell ref="D35:E35"/>
  </mergeCells>
  <conditionalFormatting sqref="E53">
    <cfRule type="cellIs" priority="1" operator="notEqual" dxfId="0">
      <formula>0</formula>
    </cfRule>
  </conditionalFormatting>
  <dataValidations count="3">
    <dataValidation sqref="B6:C15" showDropDown="0" showInputMessage="0" showErrorMessage="1" allowBlank="0" errorTitle="Ungültiger Faktor" error="Bitte einen Wert zwischen 0 % und 100 % eingeben." type="decimal" operator="between">
      <formula1>0</formula1>
      <formula2>1</formula2>
    </dataValidation>
    <dataValidation sqref="B41" showDropDown="0" showInputMessage="0" showErrorMessage="0" allowBlank="0" type="list">
      <formula1>=$A$33:$A$39</formula1>
    </dataValidation>
    <dataValidation sqref="A46:A49" showDropDown="0" showInputMessage="0" showErrorMessage="0" allowBlank="1" type="list">
      <formula1>=$A$6:$A$15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C8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  <col width="84" customWidth="1" min="3" max="3"/>
  </cols>
  <sheetData>
    <row r="1" ht="36" customHeight="1">
      <c r="A1" s="117" t="inlineStr">
        <is>
          <t>Normwissen: DIN 277 auf einen Blick</t>
        </is>
      </c>
    </row>
    <row r="2" ht="30" customHeight="1">
      <c r="A2" s="4" t="inlineStr">
        <is>
          <t>Alle Inhalte des Beitrags „Wohnflächenberechnung nach DIN 277“ als Nachschlagetabellen: Norm, Flächengliederung, Nutzungsarten, Formeln, Vorgehen, Fehler, Checkliste und FAQ.</t>
        </is>
      </c>
    </row>
    <row r="4" ht="24" customHeight="1">
      <c r="A4" s="118" t="inlineStr">
        <is>
          <t>1  Norm und aktuelle Fassung</t>
        </is>
      </c>
    </row>
    <row r="5" ht="24" customHeight="1">
      <c r="A5" s="18" t="inlineStr">
        <is>
          <t>Thema</t>
        </is>
      </c>
      <c r="B5" s="18" t="inlineStr">
        <is>
          <t>Aussage</t>
        </is>
      </c>
      <c r="C5" s="18" t="inlineStr"/>
    </row>
    <row r="6" ht="50" customHeight="1">
      <c r="A6" s="27" t="inlineStr">
        <is>
          <t>Norm</t>
        </is>
      </c>
      <c r="B6" s="119" t="inlineStr">
        <is>
          <t>DIN 277 – Grundflächen und Rauminhalte im Hochbau</t>
        </is>
      </c>
      <c r="C6" s="119" t="inlineStr">
        <is>
          <t>Zentrale deutsche Norm für die einheitliche Berechnung von Flächen und Rauminhalten in Gebäuden; verbindliche Grundlage für Planer, Architekten und Bauherren.</t>
        </is>
      </c>
    </row>
    <row r="7" ht="20" customHeight="1">
      <c r="A7" s="27" t="inlineStr">
        <is>
          <t>Aktuelle Fassung</t>
        </is>
      </c>
      <c r="B7" s="119" t="inlineStr">
        <is>
          <t>DIN 277:2021-08</t>
        </is>
      </c>
      <c r="C7" s="119" t="inlineStr">
        <is>
          <t>Gültig seit August 2021; löst die Fassung von 2016 ab.</t>
        </is>
      </c>
    </row>
    <row r="8" ht="35" customHeight="1">
      <c r="A8" s="27" t="inlineStr">
        <is>
          <t>Wichtige Neuerungen</t>
        </is>
      </c>
      <c r="B8" s="119" t="inlineStr">
        <is>
          <t>Messpunkte, Dämmung, Außenkanten</t>
        </is>
      </c>
      <c r="C8" s="119" t="inlineStr">
        <is>
          <t>Festlegung von Messpunkten, Behandlung von Dämmung und Außenkanten sowie neue Regelungen für Rampen und Treppen.</t>
        </is>
      </c>
    </row>
    <row r="9" ht="35" customHeight="1">
      <c r="A9" s="27" t="inlineStr">
        <is>
          <t>Maßbasis</t>
        </is>
      </c>
      <c r="B9" s="119" t="inlineStr">
        <is>
          <t>Lichte Maße</t>
        </is>
      </c>
      <c r="C9" s="119" t="inlineStr">
        <is>
          <t>Seit DIN 277:2021 gelten die lichten Maße zwischen den Konstruktionen. Prozentuale Höhenabschläge bei Dachschrägen gehören zur WoFlV.</t>
        </is>
      </c>
    </row>
    <row r="10" ht="35" customHeight="1">
      <c r="A10" s="27" t="inlineStr">
        <is>
          <t>Begriff „Wohnfläche“</t>
        </is>
      </c>
      <c r="B10" s="119" t="inlineStr">
        <is>
          <t>nicht direkt in der DIN 277</t>
        </is>
      </c>
      <c r="C10" s="119" t="inlineStr">
        <is>
          <t>Die Norm ermittelt Nutzflächen und Verkehrsflächen. Für Mietverträge und den sozialen Wohnungsbau ist die WoFlV rechtlich relevant.</t>
        </is>
      </c>
    </row>
    <row r="11" ht="20" customHeight="1"/>
    <row r="12" ht="24" customHeight="1">
      <c r="A12" s="118" t="inlineStr">
        <is>
          <t>2  Anwendungsbereiche der DIN 277</t>
        </is>
      </c>
    </row>
    <row r="13" ht="24" customHeight="1">
      <c r="A13" s="18" t="inlineStr">
        <is>
          <t>Bereich</t>
        </is>
      </c>
      <c r="B13" s="18" t="inlineStr">
        <is>
          <t>Verwendung</t>
        </is>
      </c>
      <c r="C13" s="18" t="inlineStr"/>
    </row>
    <row r="14" ht="35" customHeight="1">
      <c r="A14" s="27" t="inlineStr">
        <is>
          <t>Baukostenermittlung</t>
        </is>
      </c>
      <c r="B14" s="119" t="inlineStr">
        <is>
          <t>Grundlage für die Kostenberechnung nach DIN 276</t>
        </is>
      </c>
      <c r="C14" s="119" t="inlineStr"/>
    </row>
    <row r="15" ht="20" customHeight="1">
      <c r="A15" s="27" t="inlineStr">
        <is>
          <t>Immobilienbewertung</t>
        </is>
      </c>
      <c r="B15" s="119" t="inlineStr">
        <is>
          <t>Für Kauf- und Mietentscheidungen</t>
        </is>
      </c>
      <c r="C15" s="119" t="inlineStr"/>
    </row>
    <row r="16" ht="30" customHeight="1">
      <c r="A16" s="27" t="inlineStr">
        <is>
          <t>Bauanträge</t>
        </is>
      </c>
      <c r="B16" s="119" t="inlineStr">
        <is>
          <t>Zur Dokumentation von Flächenangaben</t>
        </is>
      </c>
      <c r="C16" s="119" t="inlineStr"/>
    </row>
    <row r="17" ht="20" customHeight="1">
      <c r="A17" s="27" t="inlineStr">
        <is>
          <t>Mietflächenermittlung</t>
        </is>
      </c>
      <c r="B17" s="119" t="inlineStr">
        <is>
          <t>Besonders bei Gewerbeimmobilien</t>
        </is>
      </c>
      <c r="C17" s="119" t="inlineStr"/>
    </row>
    <row r="18" ht="20" customHeight="1">
      <c r="A18" s="27" t="inlineStr">
        <is>
          <t>Grundsteuerberechnung</t>
        </is>
      </c>
      <c r="B18" s="119" t="inlineStr">
        <is>
          <t>In einigen Bundesländern relevant</t>
        </is>
      </c>
      <c r="C18" s="119" t="inlineStr"/>
    </row>
    <row r="19" ht="20" customHeight="1"/>
    <row r="20" ht="24" customHeight="1">
      <c r="A20" s="118" t="inlineStr">
        <is>
          <t>3  Flächengliederung: BGF = NRF + KGF · NRF = NUF + TF + VF</t>
        </is>
      </c>
    </row>
    <row r="21" ht="24" customHeight="1">
      <c r="A21" s="18" t="inlineStr">
        <is>
          <t>Flächenart</t>
        </is>
      </c>
      <c r="B21" s="18" t="inlineStr">
        <is>
          <t>Abkürzung / Formel</t>
        </is>
      </c>
      <c r="C21" s="18" t="inlineStr">
        <is>
          <t>Beispiele und Bedeutung</t>
        </is>
      </c>
    </row>
    <row r="22" ht="50" customHeight="1">
      <c r="A22" s="27" t="inlineStr">
        <is>
          <t>Brutto-Grundfläche</t>
        </is>
      </c>
      <c r="B22" s="119" t="inlineStr">
        <is>
          <t>BGF = NRF + KGF</t>
        </is>
      </c>
      <c r="C22" s="119" t="inlineStr">
        <is>
          <t>Summe aller Grundflächen eines Bauwerks, unabhängig von der tatsächlichen Nutzbarkeit; alle Geschossebenen inkl. Außenmauern, auch nicht ausgebaute Dachräume.</t>
        </is>
      </c>
    </row>
    <row r="23" ht="20" customHeight="1">
      <c r="A23" s="27" t="inlineStr">
        <is>
          <t>Netto-Raumfläche</t>
        </is>
      </c>
      <c r="B23" s="119" t="inlineStr">
        <is>
          <t>NRF = NUF + TF + VF</t>
        </is>
      </c>
      <c r="C23" s="119" t="inlineStr">
        <is>
          <t>Alle nutzbaren Flächen eines Gebäudes.</t>
        </is>
      </c>
    </row>
    <row r="24" ht="35" customHeight="1">
      <c r="A24" s="27" t="inlineStr">
        <is>
          <t>Konstruktions-Grundfläche</t>
        </is>
      </c>
      <c r="B24" s="119" t="inlineStr">
        <is>
          <t>KGF</t>
        </is>
      </c>
      <c r="C24" s="119" t="inlineStr">
        <is>
          <t>Flächen für Wände, Pfeiler, Stützen, Schächte; typischerweise 10–20 % der BGF.</t>
        </is>
      </c>
    </row>
    <row r="25" ht="20" customHeight="1">
      <c r="A25" s="27" t="inlineStr">
        <is>
          <t>Nutzungsfläche</t>
        </is>
      </c>
      <c r="B25" s="119" t="inlineStr">
        <is>
          <t>NUF</t>
        </is>
      </c>
      <c r="C25" s="119" t="inlineStr">
        <is>
          <t>Wohnräume, Büros, Lagerräume, Verkaufsflächen</t>
        </is>
      </c>
    </row>
    <row r="26" ht="20" customHeight="1">
      <c r="A26" s="27" t="inlineStr">
        <is>
          <t>Technikfläche</t>
        </is>
      </c>
      <c r="B26" s="119" t="inlineStr">
        <is>
          <t>TF</t>
        </is>
      </c>
      <c r="C26" s="119" t="inlineStr">
        <is>
          <t>Heizungsräume, Lüftungsanlagen, Stromversorgung</t>
        </is>
      </c>
    </row>
    <row r="27" ht="20" customHeight="1">
      <c r="A27" s="27" t="inlineStr">
        <is>
          <t>Verkehrsfläche</t>
        </is>
      </c>
      <c r="B27" s="119" t="inlineStr">
        <is>
          <t>VF</t>
        </is>
      </c>
      <c r="C27" s="119" t="inlineStr">
        <is>
          <t>Flure, Treppenhäuser, Aufzüge, Eingänge</t>
        </is>
      </c>
    </row>
    <row r="28" ht="20" customHeight="1"/>
    <row r="29" ht="24" customHeight="1">
      <c r="A29" s="118" t="inlineStr">
        <is>
          <t>4  Die sieben Nutzungsarten (NUF 1–7)</t>
        </is>
      </c>
    </row>
    <row r="30" ht="24" customHeight="1">
      <c r="A30" s="18" t="inlineStr">
        <is>
          <t>Nutzungsart</t>
        </is>
      </c>
      <c r="B30" s="18" t="inlineStr">
        <is>
          <t>Bezeichnung</t>
        </is>
      </c>
      <c r="C30" s="18" t="inlineStr">
        <is>
          <t>Beispiele</t>
        </is>
      </c>
    </row>
    <row r="31" ht="20" customHeight="1">
      <c r="A31" s="27" t="inlineStr">
        <is>
          <t>NUF 1</t>
        </is>
      </c>
      <c r="B31" s="119" t="inlineStr">
        <is>
          <t>Wohnen und Aufenthalt</t>
        </is>
      </c>
      <c r="C31" s="119" t="inlineStr">
        <is>
          <t>Wohnräume, Schlafräume, Küchen, Aufenthaltsräume</t>
        </is>
      </c>
    </row>
    <row r="32" ht="20" customHeight="1">
      <c r="A32" s="27" t="inlineStr">
        <is>
          <t>NUF 2</t>
        </is>
      </c>
      <c r="B32" s="119" t="inlineStr">
        <is>
          <t>Büroarbeit</t>
        </is>
      </c>
      <c r="C32" s="119" t="inlineStr">
        <is>
          <t>Büroräume, Besprechungsräume</t>
        </is>
      </c>
    </row>
    <row r="33" ht="20" customHeight="1">
      <c r="A33" s="27" t="inlineStr">
        <is>
          <t>NUF 3</t>
        </is>
      </c>
      <c r="B33" s="119" t="inlineStr">
        <is>
          <t>Produktion</t>
        </is>
      </c>
      <c r="C33" s="119" t="inlineStr">
        <is>
          <t>Werkstätten, Labore</t>
        </is>
      </c>
    </row>
    <row r="34" ht="20" customHeight="1">
      <c r="A34" s="27" t="inlineStr">
        <is>
          <t>NUF 4</t>
        </is>
      </c>
      <c r="B34" s="119" t="inlineStr">
        <is>
          <t>Lagern und Verteilen</t>
        </is>
      </c>
      <c r="C34" s="119" t="inlineStr">
        <is>
          <t>Lagerräume, Archive</t>
        </is>
      </c>
    </row>
    <row r="35" ht="20" customHeight="1">
      <c r="A35" s="27" t="inlineStr">
        <is>
          <t>NUF 5</t>
        </is>
      </c>
      <c r="B35" s="119" t="inlineStr">
        <is>
          <t>Bildung und Kultur</t>
        </is>
      </c>
      <c r="C35" s="119" t="inlineStr">
        <is>
          <t>Unterrichtsräume, Bibliotheken</t>
        </is>
      </c>
    </row>
    <row r="36" ht="20" customHeight="1">
      <c r="A36" s="27" t="inlineStr">
        <is>
          <t>NUF 6</t>
        </is>
      </c>
      <c r="B36" s="119" t="inlineStr">
        <is>
          <t>Heilen und Pflegen</t>
        </is>
      </c>
      <c r="C36" s="119" t="inlineStr">
        <is>
          <t>Behandlungsräume, Pflegeeinrichtungen</t>
        </is>
      </c>
    </row>
    <row r="37" ht="20" customHeight="1">
      <c r="A37" s="27" t="inlineStr">
        <is>
          <t>NUF 7</t>
        </is>
      </c>
      <c r="B37" s="119" t="inlineStr">
        <is>
          <t>Sonstige Nutzungen</t>
        </is>
      </c>
      <c r="C37" s="119" t="inlineStr">
        <is>
          <t>Sanitärräume, Abstellräume, Müllsammelräume</t>
        </is>
      </c>
    </row>
    <row r="38" ht="20" customHeight="1"/>
    <row r="39" ht="24" customHeight="1">
      <c r="A39" s="118" t="inlineStr">
        <is>
          <t>5  Wichtige Excel-Formeln (als Text dargestellt)</t>
        </is>
      </c>
    </row>
    <row r="40" ht="24" customHeight="1">
      <c r="A40" s="18" t="inlineStr">
        <is>
          <t>Zweck</t>
        </is>
      </c>
      <c r="B40" s="18" t="inlineStr">
        <is>
          <t>Formel</t>
        </is>
      </c>
      <c r="C40" s="18" t="inlineStr">
        <is>
          <t>Erläuterung</t>
        </is>
      </c>
    </row>
    <row r="41" ht="20" customHeight="1">
      <c r="A41" s="27" t="inlineStr">
        <is>
          <t>Grundfläche berechnen</t>
        </is>
      </c>
      <c r="B41" s="120" t="inlineStr">
        <is>
          <t>=Länge*Breite</t>
        </is>
      </c>
      <c r="C41" s="119" t="inlineStr">
        <is>
          <t>In dieser Arbeitsmappe: Raumerfassung, Spalte I.</t>
        </is>
      </c>
    </row>
    <row r="42" ht="20" customHeight="1">
      <c r="A42" s="27" t="inlineStr">
        <is>
          <t>Anrechenbare Fläche</t>
        </is>
      </c>
      <c r="B42" s="120" t="inlineStr">
        <is>
          <t>=Grundfläche*Anrechnungsfaktor</t>
        </is>
      </c>
      <c r="C42" s="119" t="inlineStr">
        <is>
          <t>Faktoren je Flächenart im Blatt „Vergleich WoFlV“.</t>
        </is>
      </c>
    </row>
    <row r="43" ht="35" customHeight="1">
      <c r="A43" s="27" t="inlineStr">
        <is>
          <t>Summe nach Nutzungsart</t>
        </is>
      </c>
      <c r="B43" s="120" t="inlineStr">
        <is>
          <t>=SUMMEWENN(Nutzungsart;"NUF 1";Anrechenbare_Fläche)</t>
        </is>
      </c>
      <c r="C43" s="119" t="inlineStr">
        <is>
          <t>In dieser Arbeitsmappe als SUMMEWENNS auf Raumerfassung, Blatt Flächenübersicht Tabelle 2.</t>
        </is>
      </c>
    </row>
    <row r="44" ht="20" customHeight="1">
      <c r="A44" s="27" t="inlineStr">
        <is>
          <t>Gesamte NRF</t>
        </is>
      </c>
      <c r="B44" s="120" t="inlineStr">
        <is>
          <t>=SUMME(NUF)+SUMME(TF)+SUMME(VF)</t>
        </is>
      </c>
      <c r="C44" s="119" t="inlineStr">
        <is>
          <t>Flächenübersicht, Tabelle 1.</t>
        </is>
      </c>
    </row>
    <row r="45" ht="20" customHeight="1"/>
    <row r="46" ht="24" customHeight="1">
      <c r="A46" s="118" t="inlineStr">
        <is>
          <t>6  Schritt-für-Schritt-Anleitung zur Flächenberechnung</t>
        </is>
      </c>
    </row>
    <row r="47" ht="24" customHeight="1">
      <c r="A47" s="18" t="inlineStr">
        <is>
          <t>Schritt</t>
        </is>
      </c>
      <c r="B47" s="18" t="inlineStr">
        <is>
          <t>Titel</t>
        </is>
      </c>
      <c r="C47" s="18" t="inlineStr">
        <is>
          <t>Vorgehen</t>
        </is>
      </c>
    </row>
    <row r="48" ht="35" customHeight="1">
      <c r="A48" s="27" t="inlineStr">
        <is>
          <t>1</t>
        </is>
      </c>
      <c r="B48" s="119" t="inlineStr">
        <is>
          <t>Vorbereitung</t>
        </is>
      </c>
      <c r="C48" s="119" t="inlineStr">
        <is>
          <t>Aktuellen Grundriss mit allen Maßen bereithalten, Laserentfernungsmesser für präzise Messungen verwenden, alle Räume systematisch erfassen.</t>
        </is>
      </c>
    </row>
    <row r="49" ht="35" customHeight="1">
      <c r="A49" s="27" t="inlineStr">
        <is>
          <t>2</t>
        </is>
      </c>
      <c r="B49" s="119" t="inlineStr">
        <is>
          <t>Ermittlung der BGF</t>
        </is>
      </c>
      <c r="C49" s="119" t="inlineStr">
        <is>
          <t>Alle Geschossebenen einschließlich der Außenmauern vermessen; die BGF umfasst die gesamte Fläche inklusive der Konstruktionsflächen.</t>
        </is>
      </c>
    </row>
    <row r="50" ht="35" customHeight="1">
      <c r="A50" s="27" t="inlineStr">
        <is>
          <t>3</t>
        </is>
      </c>
      <c r="B50" s="119" t="inlineStr">
        <is>
          <t>Abzug der KGF</t>
        </is>
      </c>
      <c r="C50" s="119" t="inlineStr">
        <is>
          <t>Flächen von Wänden, Pfeilern, Stützen oder Schächten herausrechnen. Typisch sind 10–20 % der BGF.</t>
        </is>
      </c>
    </row>
    <row r="51" ht="35" customHeight="1">
      <c r="A51" s="27" t="inlineStr">
        <is>
          <t>4</t>
        </is>
      </c>
      <c r="B51" s="119" t="inlineStr">
        <is>
          <t>Bestimmung der NRF</t>
        </is>
      </c>
      <c r="C51" s="119" t="inlineStr">
        <is>
          <t>Die verbleibende Fläche in Nutzungsflächen (NUF), Technikflächen (TF) und Verkehrsflächen (VF) unterteilen.</t>
        </is>
      </c>
    </row>
    <row r="52" ht="35" customHeight="1">
      <c r="A52" s="27" t="inlineStr">
        <is>
          <t>5</t>
        </is>
      </c>
      <c r="B52" s="119" t="inlineStr">
        <is>
          <t>Zuordnung zu Nutzungsarten</t>
        </is>
      </c>
      <c r="C52" s="119" t="inlineStr">
        <is>
          <t>Jeden Raum einer der sieben Nutzungsarten (NUF 1–7) zuordnen; maßgeblich ist die überwiegende Nutzung.</t>
        </is>
      </c>
    </row>
    <row r="53" ht="20" customHeight="1"/>
    <row r="54" ht="24" customHeight="1">
      <c r="A54" s="118" t="inlineStr">
        <is>
          <t>7  Häufige Fehler vermeiden</t>
        </is>
      </c>
    </row>
    <row r="55" ht="24" customHeight="1">
      <c r="A55" s="18" t="inlineStr">
        <is>
          <t>Fehler</t>
        </is>
      </c>
      <c r="B55" s="18" t="inlineStr">
        <is>
          <t>Kurzbeschreibung</t>
        </is>
      </c>
      <c r="C55" s="18" t="inlineStr">
        <is>
          <t>So vermeiden Sie ihn</t>
        </is>
      </c>
    </row>
    <row r="56" ht="35" customHeight="1">
      <c r="A56" s="27" t="inlineStr">
        <is>
          <t>Verwechslung der Normen</t>
        </is>
      </c>
      <c r="B56" s="119" t="inlineStr">
        <is>
          <t>DIN 277 und WoFlV gleichgesetzt</t>
        </is>
      </c>
      <c r="C56" s="119" t="inlineStr">
        <is>
          <t>Methoden-Finder im Blatt „Vergleich WoFlV“ nutzen und beide Ergebnisse gegenüberstellen.</t>
        </is>
      </c>
    </row>
    <row r="57" ht="30" customHeight="1">
      <c r="A57" s="27" t="inlineStr">
        <is>
          <t>Falsche Messpunkte</t>
        </is>
      </c>
      <c r="B57" s="119" t="inlineStr">
        <is>
          <t>Seit DIN 277:2021 gelten lichte Maße</t>
        </is>
      </c>
      <c r="C57" s="119" t="inlineStr">
        <is>
          <t>Maßbasis in der Raumerfassung auf „Lichte Maße“ lassen.</t>
        </is>
      </c>
    </row>
    <row r="58" ht="35" customHeight="1">
      <c r="A58" s="27" t="inlineStr">
        <is>
          <t>Fehlende Dokumentation</t>
        </is>
      </c>
      <c r="B58" s="119" t="inlineStr">
        <is>
          <t>Norm und Plangrundlage nicht angegeben</t>
        </is>
      </c>
      <c r="C58" s="119" t="inlineStr">
        <is>
          <t>Felder „Norm / Fassung“ und „Plangrundlage“ im Kopf der Raumerfassung ausfüllen.</t>
        </is>
      </c>
    </row>
    <row r="59" ht="35" customHeight="1">
      <c r="A59" s="27" t="inlineStr">
        <is>
          <t>Unvollständige Erfassung</t>
        </is>
      </c>
      <c r="B59" s="119" t="inlineStr">
        <is>
          <t>Auch nicht ausgebaute Dachräume zählen zur BGF</t>
        </is>
      </c>
      <c r="C59" s="119" t="inlineStr">
        <is>
          <t>Alle Geschosse inkl. DG erfassen; Prüfspalte der Raumerfassung beachten.</t>
        </is>
      </c>
    </row>
    <row r="60" ht="35" customHeight="1">
      <c r="A60" s="27" t="inlineStr">
        <is>
          <t>Putzabzug vergessen</t>
        </is>
      </c>
      <c r="B60" s="119" t="inlineStr">
        <is>
          <t>Bei Bestandsimmobilien 3 % Putzabzug</t>
        </is>
      </c>
      <c r="C60" s="119" t="inlineStr">
        <is>
          <t>Maßbasis „Rohbaumaße“ wählen – der Putzabzug (Standard 3 %) wird automatisch berücksichtigt.</t>
        </is>
      </c>
    </row>
    <row r="61" ht="20" customHeight="1"/>
    <row r="62" ht="24" customHeight="1">
      <c r="A62" s="118" t="inlineStr">
        <is>
          <t>8  Tipps für die Excel-Vorlage und ihre Umsetzung hier</t>
        </is>
      </c>
    </row>
    <row r="63" ht="24" customHeight="1">
      <c r="A63" s="18" t="inlineStr">
        <is>
          <t>Tipp</t>
        </is>
      </c>
      <c r="B63" s="18" t="inlineStr">
        <is>
          <t>Empfehlung</t>
        </is>
      </c>
      <c r="C63" s="18" t="inlineStr">
        <is>
          <t>Umsetzung in dieser Arbeitsmappe</t>
        </is>
      </c>
    </row>
    <row r="64" ht="35" customHeight="1">
      <c r="A64" s="27" t="inlineStr">
        <is>
          <t>Klare Struktur</t>
        </is>
      </c>
      <c r="B64" s="119" t="inlineStr">
        <is>
          <t>Separate Arbeitsblätter für Eingabe, Übersicht und Auswertung</t>
        </is>
      </c>
      <c r="C64" s="119" t="inlineStr">
        <is>
          <t>Raumerfassung, Flächenübersicht, Rechner, Vergleich WoFlV.</t>
        </is>
      </c>
    </row>
    <row r="65" ht="35" customHeight="1">
      <c r="A65" s="27" t="inlineStr">
        <is>
          <t>Automatisierung</t>
        </is>
      </c>
      <c r="B65" s="119" t="inlineStr">
        <is>
          <t>Formeln für alle Berechnungen hinterlegen</t>
        </is>
      </c>
      <c r="C65" s="119" t="inlineStr">
        <is>
          <t>Alle schwarzen Felder sind Formeln.</t>
        </is>
      </c>
    </row>
    <row r="66" ht="35" customHeight="1">
      <c r="A66" s="27" t="inlineStr">
        <is>
          <t>Validierung</t>
        </is>
      </c>
      <c r="B66" s="119" t="inlineStr">
        <is>
          <t>Datenüberprüfung für Pflichtfelder</t>
        </is>
      </c>
      <c r="C66" s="119" t="inlineStr">
        <is>
          <t>Dropdowns für Geschoss, Bereich, Nutzungsart, Flächenart; Zahlenprüfung für Maße; Spalte „Prüfung“.</t>
        </is>
      </c>
    </row>
    <row r="67" ht="30" customHeight="1">
      <c r="A67" s="27" t="inlineStr">
        <is>
          <t>Visualisierung</t>
        </is>
      </c>
      <c r="B67" s="119" t="inlineStr">
        <is>
          <t>Diagramme für schnelle Übersicht</t>
        </is>
      </c>
      <c r="C67" s="119" t="inlineStr">
        <is>
          <t>Kreis- und Balkendiagramm sowie Datenbalken in der Flächenübersicht.</t>
        </is>
      </c>
    </row>
    <row r="68" ht="35" customHeight="1">
      <c r="A68" s="27" t="inlineStr">
        <is>
          <t>Dokumentation</t>
        </is>
      </c>
      <c r="B68" s="119" t="inlineStr">
        <is>
          <t>Hinweise zur DIN 277 und Bedienungsanleitung</t>
        </is>
      </c>
      <c r="C68" s="119" t="inlineStr">
        <is>
          <t>Dieses Blatt und das Blatt „Anleitung“.</t>
        </is>
      </c>
    </row>
    <row r="69" ht="20" customHeight="1">
      <c r="A69" s="27" t="inlineStr">
        <is>
          <t>Flexibilität</t>
        </is>
      </c>
      <c r="B69" s="119" t="inlineStr">
        <is>
          <t>Anpassbare Anrechnungsfaktoren</t>
        </is>
      </c>
      <c r="C69" s="119" t="inlineStr">
        <is>
          <t>Faktoren im Blatt „Vergleich WoFlV“, Tabelle 1.</t>
        </is>
      </c>
    </row>
    <row r="70" ht="20" customHeight="1"/>
    <row r="71" ht="24" customHeight="1">
      <c r="A71" s="118" t="inlineStr">
        <is>
          <t>9  Checkliste für Ihre Flächenberechnung (Status wählen)</t>
        </is>
      </c>
    </row>
    <row r="72" ht="24" customHeight="1">
      <c r="A72" s="18" t="inlineStr">
        <is>
          <t>Prüfpunkt</t>
        </is>
      </c>
      <c r="B72" s="18" t="inlineStr">
        <is>
          <t>Status</t>
        </is>
      </c>
      <c r="C72" s="18" t="inlineStr">
        <is>
          <t>Hinweis</t>
        </is>
      </c>
    </row>
    <row r="73" ht="22" customHeight="1">
      <c r="A73" s="27" t="inlineStr">
        <is>
          <t>Aktuelle Grundrisse verwenden</t>
        </is>
      </c>
      <c r="B73" s="121" t="inlineStr">
        <is>
          <t>Ja</t>
        </is>
      </c>
      <c r="C73" s="119" t="inlineStr">
        <is>
          <t>Plangrundlage in der Raumerfassung dokumentieren.</t>
        </is>
      </c>
    </row>
    <row r="74" ht="30" customHeight="1">
      <c r="A74" s="27" t="inlineStr">
        <is>
          <t>Lichte Maße nach DIN 277:2021</t>
        </is>
      </c>
      <c r="B74" s="121" t="inlineStr">
        <is>
          <t>Ja</t>
        </is>
      </c>
      <c r="C74" s="119" t="inlineStr">
        <is>
          <t>Maßbasis prüfen.</t>
        </is>
      </c>
    </row>
    <row r="75" ht="22" customHeight="1">
      <c r="A75" s="27" t="inlineStr">
        <is>
          <t>Alle Geschosse erfassen</t>
        </is>
      </c>
      <c r="B75" s="121" t="inlineStr">
        <is>
          <t>Offen</t>
        </is>
      </c>
      <c r="C75" s="119" t="inlineStr">
        <is>
          <t>Inklusive UG, DG und nicht ausgebauter Dachräume.</t>
        </is>
      </c>
    </row>
    <row r="76" ht="22" customHeight="1">
      <c r="A76" s="27" t="inlineStr">
        <is>
          <t>Nutzungsarten korrekt zuordnen</t>
        </is>
      </c>
      <c r="B76" s="121" t="inlineStr">
        <is>
          <t>Offen</t>
        </is>
      </c>
      <c r="C76" s="119" t="inlineStr">
        <is>
          <t>Überwiegende Nutzung ist maßgeblich.</t>
        </is>
      </c>
    </row>
    <row r="77" ht="22" customHeight="1">
      <c r="A77" s="27" t="inlineStr">
        <is>
          <t>Berechnungsmethode dokumentieren</t>
        </is>
      </c>
      <c r="B77" s="121" t="inlineStr">
        <is>
          <t>Offen</t>
        </is>
      </c>
      <c r="C77" s="119" t="inlineStr">
        <is>
          <t>DIN 277 oder WoFlV angeben.</t>
        </is>
      </c>
    </row>
    <row r="78" ht="22" customHeight="1">
      <c r="A78" s="27" t="inlineStr">
        <is>
          <t>Ergebnisse plausibilisieren</t>
        </is>
      </c>
      <c r="B78" s="121" t="inlineStr">
        <is>
          <t>Offen</t>
        </is>
      </c>
      <c r="C78" s="119" t="inlineStr">
        <is>
          <t>Kontrollzeile und Prüfspalte beachten.</t>
        </is>
      </c>
    </row>
    <row r="79" ht="22" customHeight="1">
      <c r="A79" s="122" t="inlineStr">
        <is>
          <t>Erledigt</t>
        </is>
      </c>
      <c r="B79" s="123" t="str">
        <f>COUNTIF(B73:B78,"Ja")&amp;" von "&amp;COUNTA(B73:B78)</f>
        <v>2 von 6</v>
      </c>
      <c r="C79" s="124" t="inlineStr"/>
    </row>
    <row r="80" ht="20" customHeight="1"/>
    <row r="81" ht="24" customHeight="1">
      <c r="A81" s="118" t="inlineStr">
        <is>
          <t>10  Häufig gestellte Fragen (FAQ)</t>
        </is>
      </c>
    </row>
    <row r="82" ht="24" customHeight="1">
      <c r="A82" s="18" t="inlineStr">
        <is>
          <t>Frage</t>
        </is>
      </c>
      <c r="B82" s="18" t="inlineStr">
        <is>
          <t>Antwort</t>
        </is>
      </c>
      <c r="C82" s="18" t="inlineStr"/>
    </row>
    <row r="83" ht="50" customHeight="1">
      <c r="A83" s="27" t="inlineStr">
        <is>
          <t>Unterschied zwischen DIN 277 und WoFlV?</t>
        </is>
      </c>
      <c r="B83" s="119" t="inlineStr">
        <is>
          <t>Die DIN 277 ermittelt Nutz- und Verkehrsflächen für Baukostenberechnungen, die WoFlV ist speziell für die Wohnflächenberechnung bei Mietverhältnissen konzipiert. Balkone werden bei der DIN 277 zu 100 % angerechnet, bei der WoFlV nur zu 25–50 %.</t>
        </is>
      </c>
      <c r="C83" s="17" t="n"/>
    </row>
    <row r="84" ht="35" customHeight="1">
      <c r="A84" s="27" t="inlineStr">
        <is>
          <t>Welche Flächen zählen zur BGF?</t>
        </is>
      </c>
      <c r="B84" s="119" t="inlineStr">
        <is>
          <t>Alle Grundflächen aller Grundrissebenen eines Bauwerks: Netto-Raumfläche (nutzbare Flächen) und Konstruktions-Grundfläche (Wände, Stützen, Schächte).</t>
        </is>
      </c>
      <c r="C84" s="17" t="n"/>
    </row>
    <row r="85" ht="35" customHeight="1">
      <c r="A85" s="27" t="inlineStr">
        <is>
          <t>Wie berechne ich die Nutzungsfläche?</t>
        </is>
      </c>
      <c r="B85" s="119" t="inlineStr">
        <is>
          <t>Die NUF ergibt sich aus der Netto-Raumfläche abzüglich Technikfläche und Verkehrsfläche und wird in sieben Nutzungsarten (NUF 1–7) untergliedert.</t>
        </is>
      </c>
      <c r="C85" s="17" t="n"/>
    </row>
    <row r="86" ht="35" customHeight="1">
      <c r="A86" s="27" t="inlineStr">
        <is>
          <t>Gibt es kostenlose Excel-Vorlagen?</t>
        </is>
      </c>
      <c r="B86" s="119" t="inlineStr">
        <is>
          <t>Ja. Sie sollten Eingabefelder für Raummaße, automatische Flächenberechnung und Übersichtstabellen enthalten – wie diese Arbeitsmappe.</t>
        </is>
      </c>
      <c r="C86" s="17" t="n"/>
    </row>
    <row r="87" ht="35" customHeight="1">
      <c r="A87" s="27" t="inlineStr">
        <is>
          <t>Welche Norm gilt für Bankfinanzierungen?</t>
        </is>
      </c>
      <c r="B87" s="119" t="inlineStr">
        <is>
          <t>Banken verlangen für die Beleihungswertermittlung meist eine Wohnflächenberechnung nach der WoFlV, da diese eine einheitliche und verbindliche Berechnungsgrundlage bietet.</t>
        </is>
      </c>
      <c r="C87" s="17" t="n"/>
    </row>
    <row r="88" ht="20" customHeight="1"/>
  </sheetData>
  <mergeCells count="17">
    <mergeCell ref="B87:C87"/>
    <mergeCell ref="A81:C81"/>
    <mergeCell ref="A71:C71"/>
    <mergeCell ref="B86:C86"/>
    <mergeCell ref="A1:C1"/>
    <mergeCell ref="A46:C46"/>
    <mergeCell ref="B85:C85"/>
    <mergeCell ref="A62:C62"/>
    <mergeCell ref="B84:C84"/>
    <mergeCell ref="A54:C54"/>
    <mergeCell ref="A39:C39"/>
    <mergeCell ref="A12:C12"/>
    <mergeCell ref="A4:C4"/>
    <mergeCell ref="A20:C20"/>
    <mergeCell ref="B83:C83"/>
    <mergeCell ref="A2:C2"/>
    <mergeCell ref="A29:C29"/>
  </mergeCells>
  <conditionalFormatting sqref="B73:B78">
    <cfRule type="expression" priority="1" dxfId="1">
      <formula>B73="Ja"</formula>
    </cfRule>
  </conditionalFormatting>
  <dataValidations count="1">
    <dataValidation sqref="B73:B78" showDropDown="0" showInputMessage="0" showErrorMessage="0" allowBlank="0" type="list">
      <formula1>=Listen!$D$2:$D$3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94A3B8"/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 ht="36" customHeight="1">
      <c r="A1" s="117" t="inlineStr">
        <is>
          <t>Anleitung</t>
        </is>
      </c>
    </row>
    <row r="2" ht="30" customHeight="1">
      <c r="A2" s="4" t="inlineStr">
        <is>
          <t>Was jedes Blatt tut und wie Sie die Arbeitsmappe bedienen.</t>
        </is>
      </c>
    </row>
    <row r="4" ht="24" customHeight="1">
      <c r="A4" s="118" t="inlineStr">
        <is>
          <t>Die Blätter</t>
        </is>
      </c>
    </row>
    <row r="5" ht="65" customHeight="1">
      <c r="A5" s="27" t="inlineStr">
        <is>
          <t>Raumerfassung</t>
        </is>
      </c>
      <c r="B5" s="119" t="inlineStr">
        <is>
          <t>Hauptblatt. Kopf: Objekt, Adresse, Norm, Plangrundlage, Maßbasis (Lichte Maße / Rohbaumaße mit Putzabzug). Darunter 60 Eingabezeilen: Geschoss, Bereich, Raum, Nutzungsart, Flächenart, Länge, Breite. Berechnet werden Grundfläche, Fläche nach DIN 277 und WoFlV, Differenz, Anteil an der NRF und eine Prüfung.</t>
        </is>
      </c>
    </row>
    <row r="6" ht="50" customHeight="1">
      <c r="A6" s="27" t="inlineStr">
        <is>
          <t>Flächenübersicht</t>
        </is>
      </c>
      <c r="B6" s="119" t="inlineStr">
        <is>
          <t>Kacheln für BGF, NRF, NUF, KGF, WoFlV-Fläche und Differenz; Hierarchie BGF = NRF + KGF; Summen je Nutzungsart, Geschoss und Bereich; Kontrolle auf nicht zugeordnete Flächen; zwei Diagramme. Eingaben: KGF-Annahme, optional gemessene KGF, Bereichsnamen.</t>
        </is>
      </c>
    </row>
    <row r="7" ht="50" customHeight="1">
      <c r="A7" s="27" t="inlineStr">
        <is>
          <t>Rechner</t>
        </is>
      </c>
      <c r="B7" s="119" t="inlineStr">
        <is>
          <t>Der DIN-277-Flächenrechner: Länge, Breite, Flächenart, Methode und KGF-Anteil eingeben – Grundfläche, NRF, KGF und BGF erscheinen sofort. Mit Vergleich beider Methoden und einer Rauminhalt-Näherung.</t>
        </is>
      </c>
    </row>
    <row r="8" ht="35" customHeight="1">
      <c r="A8" s="27" t="inlineStr">
        <is>
          <t>Vergleich WoFlV</t>
        </is>
      </c>
      <c r="B8" s="119" t="inlineStr">
        <is>
          <t>Tabelle der Anrechnungsfaktoren (editierbar, steuert alle Berechnungen), Gegenüberstellung DIN 277 und WoFlV, Methoden-Finder je Anwendungsfall und das Penthouse-Beispiel.</t>
        </is>
      </c>
    </row>
    <row r="9" ht="35" customHeight="1">
      <c r="A9" s="27" t="inlineStr">
        <is>
          <t>Normwissen</t>
        </is>
      </c>
      <c r="B9" s="119" t="inlineStr">
        <is>
          <t>Nachschlagewerk: Norm, Anwendungsbereiche, Flächengliederung, Nutzungsarten, Formeln, Schritte, Fehler, Tipps, Checkliste, FAQ.</t>
        </is>
      </c>
    </row>
    <row r="10" ht="20" customHeight="1">
      <c r="A10" s="27" t="inlineStr">
        <is>
          <t>Listen (versteckt)</t>
        </is>
      </c>
      <c r="B10" s="119" t="inlineStr">
        <is>
          <t>Hilfslisten für die Dropdowns. Nicht ändern.</t>
        </is>
      </c>
    </row>
    <row r="12" ht="24" customHeight="1">
      <c r="A12" s="118" t="inlineStr">
        <is>
          <t>So gehen Sie vor</t>
        </is>
      </c>
    </row>
    <row r="13" ht="35" customHeight="1">
      <c r="A13" s="122" t="inlineStr">
        <is>
          <t>Schritt 1</t>
        </is>
      </c>
      <c r="B13" s="119" t="inlineStr">
        <is>
          <t>Raumerfassung: Objektdaten und Maßbasis eintragen, die Beispielräume überschreiben oder löschen (Zeilen 8–67).</t>
        </is>
      </c>
    </row>
    <row r="14" ht="35" customHeight="1">
      <c r="A14" s="122" t="inlineStr">
        <is>
          <t>Schritt 2</t>
        </is>
      </c>
      <c r="B14" s="119" t="inlineStr">
        <is>
          <t>Flächenübersicht, Tabelle 4: Bereichsnamen (z. B. Wohnung 1) anlegen – sie erscheinen im Dropdown „Bereich / Einheit“.</t>
        </is>
      </c>
    </row>
    <row r="15" ht="35" customHeight="1">
      <c r="A15" s="122" t="inlineStr">
        <is>
          <t>Schritt 3</t>
        </is>
      </c>
      <c r="B15" s="119" t="inlineStr">
        <is>
          <t>Pro Raum Geschoss, Bereich, Nutzungsart und Flächenart per Dropdown wählen, Länge und Breite in Metern eintragen.</t>
        </is>
      </c>
    </row>
    <row r="16" ht="30" customHeight="1">
      <c r="A16" s="122" t="inlineStr">
        <is>
          <t>Schritt 4</t>
        </is>
      </c>
      <c r="B16" s="119" t="inlineStr">
        <is>
          <t>Spalte „Prüfung“ beachten: „OK“ = vollständig; rot = Angaben oder Maße fehlen.</t>
        </is>
      </c>
    </row>
    <row r="17" ht="20" customHeight="1">
      <c r="A17" s="122" t="inlineStr">
        <is>
          <t>Schritt 5</t>
        </is>
      </c>
      <c r="B17" s="119" t="inlineStr">
        <is>
          <t>Anrechnungsfaktoren bei Bedarf im Blatt „Vergleich WoFlV“ anpassen.</t>
        </is>
      </c>
    </row>
    <row r="18" ht="35" customHeight="1">
      <c r="A18" s="122" t="inlineStr">
        <is>
          <t>Schritt 6</t>
        </is>
      </c>
      <c r="B18" s="119" t="inlineStr">
        <is>
          <t>Ergebnisse in der Flächenübersicht lesen; Kontrollzeile (Tabelle 4) muss „OK“ zeigen. Methode (DIN 277 oder WoFlV) im Ergebnis dokumentieren.</t>
        </is>
      </c>
    </row>
    <row r="20" ht="24" customHeight="1">
      <c r="A20" s="118" t="inlineStr">
        <is>
          <t>Farben und Hinweise</t>
        </is>
      </c>
    </row>
    <row r="21" ht="22" customHeight="1">
      <c r="A21" s="125" t="inlineStr">
        <is>
          <t>Blauer Text, hellblau</t>
        </is>
      </c>
      <c r="B21" s="124" t="inlineStr">
        <is>
          <t>Eingabefelder – hier tippen oder per Dropdown wählen.</t>
        </is>
      </c>
    </row>
    <row r="22" ht="22" customHeight="1">
      <c r="A22" s="126" t="inlineStr">
        <is>
          <t>Schwarzer Text</t>
        </is>
      </c>
      <c r="B22" s="124" t="inlineStr">
        <is>
          <t>Formeln – nicht überschreiben.</t>
        </is>
      </c>
    </row>
    <row r="23" ht="22" customHeight="1">
      <c r="A23" s="126" t="inlineStr">
        <is>
          <t>Beispieldaten</t>
        </is>
      </c>
      <c r="B23" s="124" t="inlineStr">
        <is>
          <t>Alle Raummaße, Bereichsnamen und das Penthouse-Beispiel sind frei gewählte Beispiele (Mehrfamilienhaus mit Gewerbe).</t>
        </is>
      </c>
    </row>
    <row r="24" ht="35" customHeight="1">
      <c r="A24" s="25" t="inlineStr">
        <is>
          <t>Haftungshinweis</t>
        </is>
      </c>
      <c r="B24" s="119" t="inlineStr">
        <is>
          <t>Die Vorlage dient der Orientierung. Für Mietverträge, Förderungen und Gutachten ist die jeweils rechtlich maßgebliche Berechnung nach WoFlV bzw. DIN 277 mit dem Plan abzugleichen.</t>
        </is>
      </c>
    </row>
  </sheetData>
  <mergeCells count="5">
    <mergeCell ref="A4:B4"/>
    <mergeCell ref="A20:B20"/>
    <mergeCell ref="A2:B2"/>
    <mergeCell ref="A1:B1"/>
    <mergeCell ref="A12:B12"/>
  </mergeCells>
  <printOptions horizontalCentered="1"/>
  <pageMargins left="0.4" right="0.4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CCCCCC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0" customWidth="1" min="4" max="4"/>
    <col width="12" customWidth="1" min="5" max="5"/>
  </cols>
  <sheetData>
    <row r="1">
      <c r="A1" s="1" t="inlineStr">
        <is>
          <t>Nutzungsart</t>
        </is>
      </c>
      <c r="B1" s="1" t="inlineStr">
        <is>
          <t>Geschoss</t>
        </is>
      </c>
      <c r="C1" s="1" t="inlineStr">
        <is>
          <t>Maßbasis</t>
        </is>
      </c>
      <c r="D1" s="1" t="inlineStr">
        <is>
          <t>Ja/Nein</t>
        </is>
      </c>
      <c r="E1" s="1" t="inlineStr">
        <is>
          <t>Methode</t>
        </is>
      </c>
    </row>
    <row r="2">
      <c r="A2" s="2" t="inlineStr">
        <is>
          <t>NUF 1 – Wohnen und Aufenthalt</t>
        </is>
      </c>
      <c r="B2" s="2" t="inlineStr">
        <is>
          <t>UG</t>
        </is>
      </c>
      <c r="C2" s="2" t="inlineStr">
        <is>
          <t>Lichte Maße</t>
        </is>
      </c>
      <c r="D2" s="2" t="inlineStr">
        <is>
          <t>Ja</t>
        </is>
      </c>
      <c r="E2" s="2" t="inlineStr">
        <is>
          <t>DIN 277</t>
        </is>
      </c>
    </row>
    <row r="3">
      <c r="A3" s="2" t="inlineStr">
        <is>
          <t>NUF 2 – Büroarbeit</t>
        </is>
      </c>
      <c r="B3" s="2" t="inlineStr">
        <is>
          <t>EG</t>
        </is>
      </c>
      <c r="C3" s="2" t="inlineStr">
        <is>
          <t>Rohbaumaße</t>
        </is>
      </c>
      <c r="D3" s="2" t="inlineStr">
        <is>
          <t>Offen</t>
        </is>
      </c>
      <c r="E3" s="2" t="inlineStr">
        <is>
          <t>WoFlV</t>
        </is>
      </c>
    </row>
    <row r="4">
      <c r="A4" s="2" t="inlineStr">
        <is>
          <t>NUF 3 – Produktion</t>
        </is>
      </c>
      <c r="B4" s="2" t="inlineStr">
        <is>
          <t>1. OG</t>
        </is>
      </c>
    </row>
    <row r="5">
      <c r="A5" s="2" t="inlineStr">
        <is>
          <t>NUF 4 – Lagern und Verteilen</t>
        </is>
      </c>
      <c r="B5" s="2" t="inlineStr">
        <is>
          <t>2. OG</t>
        </is>
      </c>
    </row>
    <row r="6">
      <c r="A6" s="2" t="inlineStr">
        <is>
          <t>NUF 5 – Bildung und Kultur</t>
        </is>
      </c>
      <c r="B6" s="2" t="inlineStr">
        <is>
          <t>DG</t>
        </is>
      </c>
    </row>
    <row r="7">
      <c r="A7" s="2" t="inlineStr">
        <is>
          <t>NUF 6 – Heilen und Pflegen</t>
        </is>
      </c>
      <c r="B7" s="2" t="inlineStr">
        <is>
          <t>Außenbereich</t>
        </is>
      </c>
    </row>
    <row r="8">
      <c r="A8" s="2" t="inlineStr">
        <is>
          <t>NUF 7 – Sonstige Nutzungen</t>
        </is>
      </c>
    </row>
    <row r="9">
      <c r="A9" s="2" t="inlineStr">
        <is>
          <t>TF – Technikfläche</t>
        </is>
      </c>
    </row>
    <row r="10">
      <c r="A10" s="2" t="inlineStr">
        <is>
          <t>VF – Verkehrsfläche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2026-10-06T09:39:45Z</dcterms:created>
  <dcterms:modified xmlns:dcterms="http://purl.org/dc/terms/" xmlns:xsi="http://www.w3.org/2001/XMLSchema-instance" xsi:type="dcterms:W3CDTF">2026-10-06T09:43:23Z</dcterms:modified>
</cp:coreProperties>
</file>