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des" sheetId="2" state="visible" r:id="rId4"/>
    <sheet name="Strategie_Analyse" sheetId="3" state="visible" r:id="rId5"/>
    <sheet name="Listen" sheetId="4" state="visible" r:id="rId6"/>
    <sheet name="Anleitung_Glossa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<sst xmlns="http://schemas.openxmlformats.org/spreadsheetml/2006/main" count="467" uniqueCount="266">
  <si>
    <t xml:space="preserve">Trading Performance &amp; Journal Dashboard</t>
  </si>
  <si>
    <t xml:space="preserve">Echtzeit-Auswertung von Trefferquote, Erwartungswert (E), Profit-Faktor und R-Multiples</t>
  </si>
  <si>
    <t xml:space="preserve">GESAMTANZAHL TRADES</t>
  </si>
  <si>
    <t xml:space="preserve">TREFFERQUOTE (WIN RATE)</t>
  </si>
  <si>
    <t xml:space="preserve">PROFIT-FAKTOR (PF)</t>
  </si>
  <si>
    <t xml:space="preserve">ERWARTUNGSWERT (E) €</t>
  </si>
  <si>
    <t xml:space="preserve">Ø R-MULTIPLE</t>
  </si>
  <si>
    <t xml:space="preserve">Abgeschlossene Trades</t>
  </si>
  <si>
    <t xml:space="preserve">Gewinner-Trades / Gesamt</t>
  </si>
  <si>
    <t xml:space="preserve">Bruttogewinn / Bruttoverlust</t>
  </si>
  <si>
    <t xml:space="preserve">E = (p*W) - ((1-p)*L)</t>
  </si>
  <si>
    <t xml:space="preserve">Durchschnittlicher R-Ertrag</t>
  </si>
  <si>
    <t xml:space="preserve">GESAMT-GEWINN / VERLUST</t>
  </si>
  <si>
    <t xml:space="preserve">KONTOSTAND</t>
  </si>
  <si>
    <t xml:space="preserve">PAYOFF-RATIO (Ø W / Ø L)</t>
  </si>
  <si>
    <t xml:space="preserve">REGELTREUE-QUOTE</t>
  </si>
  <si>
    <t xml:space="preserve">BREAK-EVEN WINRATE</t>
  </si>
  <si>
    <t xml:space="preserve">Netto nach Gebühren</t>
  </si>
  <si>
    <t xml:space="preserve">Start: 25.000 €</t>
  </si>
  <si>
    <t xml:space="preserve">Ø Gewinn € / Ø Verlust €</t>
  </si>
  <si>
    <t xml:space="preserve">Disziplinierte Trades</t>
  </si>
  <si>
    <t xml:space="preserve">Mindestquote für BE</t>
  </si>
  <si>
    <t xml:space="preserve">Detaillierte Kennzahlen-Übersicht</t>
  </si>
  <si>
    <t xml:space="preserve">Interaktiver Erwartungswert- &amp; Szenario-Rechner</t>
  </si>
  <si>
    <t xml:space="preserve">Kennzahl / Metrik</t>
  </si>
  <si>
    <t xml:space="preserve">Wert (Aktuell)</t>
  </si>
  <si>
    <t xml:space="preserve">Einheit / Benchmark</t>
  </si>
  <si>
    <t xml:space="preserve">Erklärung &amp; Formelbezug</t>
  </si>
  <si>
    <t xml:space="preserve">Eingabe-Parameter</t>
  </si>
  <si>
    <t xml:space="preserve">Wert</t>
  </si>
  <si>
    <t xml:space="preserve">Berechnetes Ergebnis</t>
  </si>
  <si>
    <t xml:space="preserve">Wert (Output)</t>
  </si>
  <si>
    <t xml:space="preserve">Gesamtzahl Trades</t>
  </si>
  <si>
    <t xml:space="preserve">Trades</t>
  </si>
  <si>
    <t xml:space="preserve">Gesamte Stichprobengröße (Minimum: 30–50 Trades für statistische Signifikanz)</t>
  </si>
  <si>
    <t xml:space="preserve">Trefferquote (p)</t>
  </si>
  <si>
    <t xml:space="preserve">Erwartungswert pro Trade (€)</t>
  </si>
  <si>
    <t xml:space="preserve">Anzahl Gewinner-Trades</t>
  </si>
  <si>
    <t xml:space="preserve">Trades mit realisiertem Reingewinn &gt; 0 €</t>
  </si>
  <si>
    <t xml:space="preserve">Risiko pro Trade (R in €)</t>
  </si>
  <si>
    <t xml:space="preserve">Erwartungswert pro Trade (R)</t>
  </si>
  <si>
    <t xml:space="preserve">Anzahl Verlust-Trades</t>
  </si>
  <si>
    <t xml:space="preserve">Trades mit realisiertem Verlust &lt; 0 €</t>
  </si>
  <si>
    <t xml:space="preserve">Ø Gewinn (W in €)</t>
  </si>
  <si>
    <t xml:space="preserve">Profit-Faktor (PF)</t>
  </si>
  <si>
    <t xml:space="preserve">Anzahl Break-Even Trades</t>
  </si>
  <si>
    <t xml:space="preserve">Trades mit P&amp;L exakt 0 €</t>
  </si>
  <si>
    <t xml:space="preserve">Ø Verlust (L in €)</t>
  </si>
  <si>
    <t xml:space="preserve">Break-Even Mindest-Winrate</t>
  </si>
  <si>
    <t xml:space="preserve">Trefferquote (Win Rate p)</t>
  </si>
  <si>
    <t xml:space="preserve">&gt; 50%</t>
  </si>
  <si>
    <t xml:space="preserve">p = Gewinner / Gesamtzahl</t>
  </si>
  <si>
    <t xml:space="preserve">Geplante Trades / Monat</t>
  </si>
  <si>
    <t xml:space="preserve">Monatlicher Erwartungsertrag</t>
  </si>
  <si>
    <t xml:space="preserve">Brutto-Gewinn (Gross Profit)</t>
  </si>
  <si>
    <t xml:space="preserve">EUR</t>
  </si>
  <si>
    <t xml:space="preserve">Summe aller profitablen Trades</t>
  </si>
  <si>
    <t xml:space="preserve">Startkapital (€)</t>
  </si>
  <si>
    <t xml:space="preserve">Erwartete Monatsrendite</t>
  </si>
  <si>
    <t xml:space="preserve">Brutto-Verlust (Gross Loss)</t>
  </si>
  <si>
    <t xml:space="preserve">Summe aller Verlust-Trades</t>
  </si>
  <si>
    <t xml:space="preserve">Risiko pro Trade (% Kapital)</t>
  </si>
  <si>
    <t xml:space="preserve">Payoff-Ratio (W / L)</t>
  </si>
  <si>
    <t xml:space="preserve">&gt; 1.50 (Solide &gt; 2.0)</t>
  </si>
  <si>
    <t xml:space="preserve">PF = Bruttogewinn / Bruttoverlust</t>
  </si>
  <si>
    <t xml:space="preserve">Maximaler Drawdown Puffer (R)</t>
  </si>
  <si>
    <t xml:space="preserve">Handelsfrequenz / Tag</t>
  </si>
  <si>
    <t xml:space="preserve">Durchschnittlicher Gewinn (Ø Win W)</t>
  </si>
  <si>
    <t xml:space="preserve">W = Durchschnittlicher Betrag der Gewinn-Trades</t>
  </si>
  <si>
    <t xml:space="preserve">Hinweis: Blau hervorgehobene Zellen in Spalte G sind anpassbare Eingabeparameter für What-If-Szenarien.</t>
  </si>
  <si>
    <t xml:space="preserve">Durchschnittlicher Verlust (Ø Loss L)</t>
  </si>
  <si>
    <t xml:space="preserve">L = Durchschnittlicher Betrag der Verlust-Trades</t>
  </si>
  <si>
    <t xml:space="preserve">Payoff-Ratio (Ø Win / Ø Loss)</t>
  </si>
  <si>
    <t xml:space="preserve">&gt; 1.50</t>
  </si>
  <si>
    <t xml:space="preserve">Verhältnis von durchschnittlichem Gewinn zu durchschnittlichem Verlust</t>
  </si>
  <si>
    <t xml:space="preserve">&gt; 0.00 €</t>
  </si>
  <si>
    <t xml:space="preserve">E = (p * W) - ((1 - p) * L)</t>
  </si>
  <si>
    <t xml:space="preserve">&gt; +0.30 R</t>
  </si>
  <si>
    <t xml:space="preserve">Normalisierter statistischer Edge in R-Einheiten</t>
  </si>
  <si>
    <t xml:space="preserve">Maximaler Einzelgewinn</t>
  </si>
  <si>
    <t xml:space="preserve">Größter realisierter Profit</t>
  </si>
  <si>
    <t xml:space="preserve">Maximaler Einzelverlust</t>
  </si>
  <si>
    <t xml:space="preserve">Größter realisierter Verlust</t>
  </si>
  <si>
    <t xml:space="preserve">Maximaler R-Multiple</t>
  </si>
  <si>
    <t xml:space="preserve">R</t>
  </si>
  <si>
    <t xml:space="preserve">Bester Trade in R</t>
  </si>
  <si>
    <t xml:space="preserve">Schlechtester R-Multiple</t>
  </si>
  <si>
    <t xml:space="preserve">Sollte idealerweise nicht kleiner als -1.00 R sein</t>
  </si>
  <si>
    <t xml:space="preserve">Gesamte Transaktionsgebühren</t>
  </si>
  <si>
    <t xml:space="preserve">Gebührenbelastung &amp; Slippage</t>
  </si>
  <si>
    <t xml:space="preserve">Break-Even Mindesttrefferquote</t>
  </si>
  <si>
    <t xml:space="preserve">Schwellenwert</t>
  </si>
  <si>
    <t xml:space="preserve">BE% = L / (W + L)</t>
  </si>
  <si>
    <t xml:space="preserve">Regeltreue Ausführungsquote</t>
  </si>
  <si>
    <t xml:space="preserve">&gt; 85%</t>
  </si>
  <si>
    <t xml:space="preserve">Prozentsatz der Trades ohne Regelverstöße</t>
  </si>
  <si>
    <t xml:space="preserve">Trading Journal – Transaktionserfassung</t>
  </si>
  <si>
    <t xml:space="preserve">Vollständige Erfassung aller Trades inklusive Risikomanagement, P&amp;L und R-Multiples</t>
  </si>
  <si>
    <t xml:space="preserve">Startkapital (€):</t>
  </si>
  <si>
    <t xml:space="preserve">Trade-Nr.</t>
  </si>
  <si>
    <t xml:space="preserve">Datum / Zeit</t>
  </si>
  <si>
    <t xml:space="preserve">Symbol</t>
  </si>
  <si>
    <t xml:space="preserve">Asset-Klasse</t>
  </si>
  <si>
    <t xml:space="preserve">Richtung</t>
  </si>
  <si>
    <t xml:space="preserve">Setup / Strategie</t>
  </si>
  <si>
    <t xml:space="preserve">Entry-Kurs</t>
  </si>
  <si>
    <t xml:space="preserve">Stop-Loss</t>
  </si>
  <si>
    <t xml:space="preserve">Exit-Kurs</t>
  </si>
  <si>
    <t xml:space="preserve">Positionsgröße</t>
  </si>
  <si>
    <t xml:space="preserve">Gebühren (€)</t>
  </si>
  <si>
    <t xml:space="preserve">Initiales Risiko (€)</t>
  </si>
  <si>
    <t xml:space="preserve">Realisierter P&amp;L (€)</t>
  </si>
  <si>
    <t xml:space="preserve">R-Multiple</t>
  </si>
  <si>
    <t xml:space="preserve">Kumulatives P&amp;L (€)</t>
  </si>
  <si>
    <t xml:space="preserve">Kontostand (€)</t>
  </si>
  <si>
    <t xml:space="preserve">Regeltreue</t>
  </si>
  <si>
    <t xml:space="preserve">Fehlercode</t>
  </si>
  <si>
    <t xml:space="preserve">Notizen / Screenshot-Link</t>
  </si>
  <si>
    <t xml:space="preserve">2026-01-05 09:15</t>
  </si>
  <si>
    <t xml:space="preserve">DAX40</t>
  </si>
  <si>
    <t xml:space="preserve">Indizes</t>
  </si>
  <si>
    <t xml:space="preserve">Long</t>
  </si>
  <si>
    <t xml:space="preserve">Breakout</t>
  </si>
  <si>
    <t xml:space="preserve">Ja</t>
  </si>
  <si>
    <t xml:space="preserve">Kein Fehler</t>
  </si>
  <si>
    <t xml:space="preserve">Morgen-Breakout über Vortageshoch sauber ausgeführt</t>
  </si>
  <si>
    <t xml:space="preserve">2026-01-06 14:30</t>
  </si>
  <si>
    <t xml:space="preserve">EURUSD</t>
  </si>
  <si>
    <t xml:space="preserve">Forex</t>
  </si>
  <si>
    <t xml:space="preserve">Short</t>
  </si>
  <si>
    <t xml:space="preserve">Trendfolge</t>
  </si>
  <si>
    <t xml:space="preserve">US-Daten schwach, Trend sauber mitgenommen</t>
  </si>
  <si>
    <t xml:space="preserve">2026-01-07 15:45</t>
  </si>
  <si>
    <t xml:space="preserve">AAPL</t>
  </si>
  <si>
    <t xml:space="preserve">Aktien</t>
  </si>
  <si>
    <t xml:space="preserve">Pullback</t>
  </si>
  <si>
    <t xml:space="preserve">SL unglücklich touchiert, danach gedreht</t>
  </si>
  <si>
    <t xml:space="preserve">2026-01-08 10:20</t>
  </si>
  <si>
    <t xml:space="preserve">Range Fade</t>
  </si>
  <si>
    <t xml:space="preserve">Range-Oberkante perfekt abgefedert</t>
  </si>
  <si>
    <t xml:space="preserve">2026-01-09 16:00</t>
  </si>
  <si>
    <t xml:space="preserve">BTCUSD</t>
  </si>
  <si>
    <t xml:space="preserve">Krypto</t>
  </si>
  <si>
    <t xml:space="preserve">Wochenend-Ausbruch dynamisch</t>
  </si>
  <si>
    <t xml:space="preserve">2026-01-12 11:00</t>
  </si>
  <si>
    <t xml:space="preserve">Gold (XAUUSD)</t>
  </si>
  <si>
    <t xml:space="preserve">Rohstoffe</t>
  </si>
  <si>
    <t xml:space="preserve">Support gebrochen, SL gegriffen</t>
  </si>
  <si>
    <t xml:space="preserve">2026-01-13 14:00</t>
  </si>
  <si>
    <t xml:space="preserve">NVDA</t>
  </si>
  <si>
    <t xml:space="preserve">KI-Sektor starker Push</t>
  </si>
  <si>
    <t xml:space="preserve">2026-01-14 09:30</t>
  </si>
  <si>
    <t xml:space="preserve">Nein</t>
  </si>
  <si>
    <t xml:space="preserve">FOMO / Revenge Trade</t>
  </si>
  <si>
    <t xml:space="preserve">Zu spät hinterhergesprungen nach Kerzenschluss</t>
  </si>
  <si>
    <t xml:space="preserve">2026-01-15 15:00</t>
  </si>
  <si>
    <t xml:space="preserve">GBPUSD</t>
  </si>
  <si>
    <t xml:space="preserve">GBP Schwäche nach CPI-Zahlen</t>
  </si>
  <si>
    <t xml:space="preserve">2026-01-16 16:30</t>
  </si>
  <si>
    <t xml:space="preserve">TSLA</t>
  </si>
  <si>
    <t xml:space="preserve">Mean Reversion</t>
  </si>
  <si>
    <t xml:space="preserve">Extremer Überkauf am Widerstand</t>
  </si>
  <si>
    <t xml:space="preserve">2026-01-19 10:15</t>
  </si>
  <si>
    <t xml:space="preserve">Test des EMA50 im 15m Chart</t>
  </si>
  <si>
    <t xml:space="preserve">2026-01-20 14:45</t>
  </si>
  <si>
    <t xml:space="preserve">Range Support sauber gehalten</t>
  </si>
  <si>
    <t xml:space="preserve">2026-01-21 16:10</t>
  </si>
  <si>
    <t xml:space="preserve">News Momentum</t>
  </si>
  <si>
    <t xml:space="preserve">Stop ignoriert/gelöscht</t>
  </si>
  <si>
    <t xml:space="preserve">SL manuell nach unten geschoben, größerer Verlust</t>
  </si>
  <si>
    <t xml:space="preserve">2026-01-22 09:45</t>
  </si>
  <si>
    <t xml:space="preserve">Unterstützung nach unten durchschlagen</t>
  </si>
  <si>
    <t xml:space="preserve">2026-01-23 15:30</t>
  </si>
  <si>
    <t xml:space="preserve">S&amp;P 500</t>
  </si>
  <si>
    <t xml:space="preserve">US-Markt starker Trendtag</t>
  </si>
  <si>
    <t xml:space="preserve">2026-01-26 11:30</t>
  </si>
  <si>
    <t xml:space="preserve">Widerstandszone gehalten</t>
  </si>
  <si>
    <t xml:space="preserve">2026-01-27 14:15</t>
  </si>
  <si>
    <t xml:space="preserve">USDJPY</t>
  </si>
  <si>
    <t xml:space="preserve">BoJ Intervention Gerüchte stoppten Trade aus</t>
  </si>
  <si>
    <t xml:space="preserve">2026-01-28 16:00</t>
  </si>
  <si>
    <t xml:space="preserve">Zu früh ausgestiegen</t>
  </si>
  <si>
    <t xml:space="preserve">Gewinn vor TP mitgenommen aus Nervosität</t>
  </si>
  <si>
    <t xml:space="preserve">2026-01-29 10:00</t>
  </si>
  <si>
    <t xml:space="preserve">Trendfortsetzung nach Pullback</t>
  </si>
  <si>
    <t xml:space="preserve">2026-01-30 15:45</t>
  </si>
  <si>
    <t xml:space="preserve">NQ 100</t>
  </si>
  <si>
    <t xml:space="preserve">Abprall an Tagestrendlinie</t>
  </si>
  <si>
    <t xml:space="preserve">2026-02-02 09:30</t>
  </si>
  <si>
    <t xml:space="preserve">Kein Setup vorhanden</t>
  </si>
  <si>
    <t xml:space="preserve">Einstieg ohne klares Signal / Langeweile</t>
  </si>
  <si>
    <t xml:space="preserve">2026-02-03 14:00</t>
  </si>
  <si>
    <t xml:space="preserve">Starker Aufwärtsimpuls über 100k</t>
  </si>
  <si>
    <t xml:space="preserve">2026-02-04 15:15</t>
  </si>
  <si>
    <t xml:space="preserve">Widerstand an oberer Range-Begrenzung</t>
  </si>
  <si>
    <t xml:space="preserve">2026-02-05 10:30</t>
  </si>
  <si>
    <t xml:space="preserve">EZB-Kommentare für schnellen Rebound genutzt</t>
  </si>
  <si>
    <t xml:space="preserve">2026-02-06 16:20</t>
  </si>
  <si>
    <t xml:space="preserve">Ausbruch auf neues Wochenhoch</t>
  </si>
  <si>
    <t xml:space="preserve">GESAMT / SCHNITT</t>
  </si>
  <si>
    <t xml:space="preserve">Strategie- &amp; Disziplinanalyse</t>
  </si>
  <si>
    <t xml:space="preserve">Differenzierte Auswertung nach Handels-Setups, Regeltreue und Fehlerursachen</t>
  </si>
  <si>
    <t xml:space="preserve">Performance nach Setup / Strategie</t>
  </si>
  <si>
    <t xml:space="preserve">Anzahl Trades</t>
  </si>
  <si>
    <t xml:space="preserve">Gewinner</t>
  </si>
  <si>
    <t xml:space="preserve">Verlierer</t>
  </si>
  <si>
    <t xml:space="preserve">Trefferquote</t>
  </si>
  <si>
    <t xml:space="preserve">Gesamt P&amp;L (€)</t>
  </si>
  <si>
    <t xml:space="preserve">Ø P&amp;L (€)</t>
  </si>
  <si>
    <t xml:space="preserve">Ø R-Multiple</t>
  </si>
  <si>
    <t xml:space="preserve">Profit-Faktor</t>
  </si>
  <si>
    <t xml:space="preserve">Erwartungswert (E)</t>
  </si>
  <si>
    <t xml:space="preserve">GESAMT / DURCHSCHNITT</t>
  </si>
  <si>
    <t xml:space="preserve">Disziplin-Check: Regeltreue Trades vs. Regelbrüche</t>
  </si>
  <si>
    <t xml:space="preserve">Ja (Nach Regelwerk)</t>
  </si>
  <si>
    <t xml:space="preserve">Nein (Regelverstoß)</t>
  </si>
  <si>
    <t xml:space="preserve">Häufigkeit und finanzielle Auswirkung von Handelsfehlern</t>
  </si>
  <si>
    <t xml:space="preserve">Fehlerkategorie</t>
  </si>
  <si>
    <t xml:space="preserve">Häufigkeit (Trades)</t>
  </si>
  <si>
    <t xml:space="preserve">Anteil an Gesamt</t>
  </si>
  <si>
    <t xml:space="preserve">Gesamter P&amp;L-Schaden (€)</t>
  </si>
  <si>
    <t xml:space="preserve">Ø Verlust pro Fehler (€)</t>
  </si>
  <si>
    <t xml:space="preserve">Zu spät eingestiegen</t>
  </si>
  <si>
    <t xml:space="preserve">Stop nachgezogen (Angst)</t>
  </si>
  <si>
    <t xml:space="preserve">Überhebelung / Positionsgröße</t>
  </si>
  <si>
    <t xml:space="preserve">Referenzlisten &amp; Validierungstabellen</t>
  </si>
  <si>
    <t xml:space="preserve">Zentrale Datentabellen für Auswahllisten und Kategorisierungen</t>
  </si>
  <si>
    <t xml:space="preserve">Asset / Symbol</t>
  </si>
  <si>
    <t xml:space="preserve">ETHUSD</t>
  </si>
  <si>
    <t xml:space="preserve">Anleitung, Formel-Dokumentation &amp; Glossar</t>
  </si>
  <si>
    <t xml:space="preserve">Leitfaden für den täglichen Journaling-Workflow, mathematische Definitionen und BaFin-Risikohinweise</t>
  </si>
  <si>
    <t xml:space="preserve">1. Der 4-Stufen Trading-Workflow</t>
  </si>
  <si>
    <t xml:space="preserve">Kategorie / Aspekt</t>
  </si>
  <si>
    <t xml:space="preserve">Praxis-Leitfaden &amp; Dokumentation</t>
  </si>
  <si>
    <t xml:space="preserve">Schritt 1: Setup-Planung (Pre-Trade)</t>
  </si>
  <si>
    <t xml:space="preserve">Vor dem Einstieg: Definition von Einstiegspreis (Entry), Stop-Loss (SL) und Take-Profit (TP). Berechnung der Positionsgröße anhand des maximalen Risikos pro Trade (empfohlen: max. 1.0% bis 2.0% des Gesamtkontos).</t>
  </si>
  <si>
    <t xml:space="preserve">Schritt 2: Disziplinierte Orderausführung</t>
  </si>
  <si>
    <t xml:space="preserve">Platzieren der Order mit fest verknüpfter Stop-Loss-Order im Broker. Kein Einstieg ohne definiertes Setup und niemals ohne initialen Stop!</t>
  </si>
  <si>
    <t xml:space="preserve">Schritt 3: 2-Minuten-Journaling (Post-Trade)</t>
  </si>
  <si>
    <t xml:space="preserve">Unmittelbar nach Schließen der Position: Erfassung im Tab 'Trades'. Eingabe von Exit-Kurs, Gebühren, Regeltreue ('Ja'/'Nein') und optionalem Fehlercode. Schnappschuss des Chart-Setups verlinken.</t>
  </si>
  <si>
    <t xml:space="preserve">Schritt 4: Periodische Performance- &amp; Fehleranalyse</t>
  </si>
  <si>
    <t xml:space="preserve">Wöchentliche und monatliche Auswertung im Tab 'Dashboard' und 'Strategie_Analyse'. Identifikation unprofitabler Setups und systematischer Verhaltensfehler ab einer Stichprobe von 30–50 Trades.</t>
  </si>
  <si>
    <t xml:space="preserve">2. Mathematische Formeln &amp; Kennzahlen-Definitionen</t>
  </si>
  <si>
    <t xml:space="preserve">Initiales Risiko (R in €)</t>
  </si>
  <si>
    <t xml:space="preserve">'= ABS(Entry - Stop) * Positionsgröße | Definiert die absolute Verlusthöhe, falls der SL erreicht wird.</t>
  </si>
  <si>
    <t xml:space="preserve">'= Long: (Exit - Entry) * Größe - Gebühren | Short: (Entry - Exit) * Größe - Gebühren | Netto-Ergebnis.</t>
  </si>
  <si>
    <t xml:space="preserve">R-Multiple (Ertrag in R)</t>
  </si>
  <si>
    <t xml:space="preserve">'= Realisierter P&amp;L (€) / Initiales Risiko (€) | Normalisiert Gewinne und Verluste auf die Risikoeinheit 1R.</t>
  </si>
  <si>
    <t xml:space="preserve">'= Anzahl Gewinner-Trades / Gesamtzahl Trades | Anteil profitabler Trades am Gesamtvolumen.</t>
  </si>
  <si>
    <t xml:space="preserve">'= Brutto-Gewinn (€) / ABS(Brutto-Verlust €) | Maßstab für die Systemqualität (&gt; 1.50 = profitabel, &gt; 2.0 = sehr gut).</t>
  </si>
  <si>
    <t xml:space="preserve">Erwartungswert (Expectancy E)</t>
  </si>
  <si>
    <t xml:space="preserve">'= (p * W) - ((1 - p) * L) | Statistischer Ertrag pro trade (W = Ø Gewinn, L = Ø Verlust).</t>
  </si>
  <si>
    <t xml:space="preserve">Break-Even Winrate (BE%)</t>
  </si>
  <si>
    <t xml:space="preserve">'= L / (W + L) * 100 | Die Mindesttrefferquote, ab der das System keinen Verlust mehr erzielt.</t>
  </si>
  <si>
    <t xml:space="preserve">3. Wichtige Verhaltensregeln &amp; Best Practices</t>
  </si>
  <si>
    <t xml:space="preserve">Disziplin vor Trefferquote</t>
  </si>
  <si>
    <t xml:space="preserve">Ein System mit nur 40% Winrate kann hochprofitabel sein, wenn das Payoff-Ratio (Ø Win / Ø Loss) über 2.0 liegt (z.B. +2R Gewinn vs. -1R Verlust).</t>
  </si>
  <si>
    <t xml:space="preserve">Stop-Loss ist unantastbar</t>
  </si>
  <si>
    <t xml:space="preserve">Niemals den Stop-Loss während des laufenden Trades nach hinten verschieben oder löschen! Ein Regelbruch kostet statistisch mehr als 3 normale Verlusttrades.</t>
  </si>
  <si>
    <t xml:space="preserve">Stichprobengröße beachten</t>
  </si>
  <si>
    <t xml:space="preserve">Statistische Kennzahlen (PF, Expectancy) haben erst ab mindestens 30 bis 50 dokumentierten Trades eine verlässliche Aussagekraft (Gesetz der großen Zahlen).</t>
  </si>
  <si>
    <t xml:space="preserve">4. Regulatorischer Risikohinweis (BaFin / ESMA Compliance)</t>
  </si>
  <si>
    <t xml:space="preserve">Hebelprodukte &amp; CFD-Risiko</t>
  </si>
  <si>
    <t xml:space="preserve">Der Handel mit Hebelprodukten (CFDs, Forex, Futures) birgt ein hohes Verlustrisiko. Gemäß BaFin- und ESMA-Vorgaben verlieren zwischen 70% und 80% der Kleinanlegerkonten beim Handel mit CFDs Geld.</t>
  </si>
  <si>
    <t xml:space="preserve">Keine Anlageberatung</t>
  </si>
  <si>
    <t xml:space="preserve">Diese Excel-Vorlage dient ausschließlich der persönlichen Dokumentation, statistischen Selbstanalyse und dem Risikomanagement. Sie stellt keine Anlageberatung oder Aufforderung zum Wertpapierhandel dar.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</si>
</sst>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.0%"/>
    <numFmt numFmtId="167" formatCode="0.00"/>
    <numFmt numFmtId="168" formatCode="\+#,##0.00&quot; €&quot;;\-#,##0.00&quot; €&quot;;0.00&quot; €&quot;"/>
    <numFmt numFmtId="169" formatCode="\+0.00&quot; R&quot;;\-0.00&quot; R&quot;;0.00&quot; R&quot;"/>
    <numFmt numFmtId="170" formatCode="#,##0.00&quot; €&quot;"/>
    <numFmt numFmtId="171" formatCode="0.0&quot; R&quot;"/>
    <numFmt numFmtId="172" formatCode="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libri"/>
      <family val="0"/>
      <charset val="1"/>
    </font>
    <font>
      <i val="true"/>
      <sz val="10"/>
      <color rgb="FF64748B"/>
      <name val="Calibri"/>
      <family val="0"/>
      <charset val="1"/>
    </font>
    <font>
      <b val="true"/>
      <sz val="9"/>
      <color rgb="FF475569"/>
      <name val="Calibri"/>
      <family val="0"/>
      <charset val="1"/>
    </font>
    <font>
      <b val="true"/>
      <sz val="16"/>
      <color rgb="FF1E293B"/>
      <name val="Calibri"/>
      <family val="0"/>
      <charset val="1"/>
    </font>
    <font>
      <sz val="8"/>
      <color rgb="FF64748B"/>
      <name val="Calibri"/>
      <family val="0"/>
      <charset val="1"/>
    </font>
    <font>
      <b val="true"/>
      <sz val="11"/>
      <color rgb="FF1E293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0F172A"/>
      <name val="Calibri"/>
      <family val="0"/>
      <charset val="1"/>
    </font>
    <font>
      <b val="true"/>
      <sz val="10"/>
      <color rgb="FF0F172A"/>
      <name val="Calibri"/>
      <family val="0"/>
      <charset val="1"/>
    </font>
    <font>
      <i val="true"/>
      <sz val="8"/>
      <color rgb="FF64748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1F5F9"/>
        <bgColor rgb="FFEFF6FF"/>
      </patternFill>
    </fill>
    <fill>
      <patternFill patternType="solid">
        <fgColor rgb="FFFFFFFF"/>
        <bgColor rgb="FFF8FAFC"/>
      </patternFill>
    </fill>
    <fill>
      <patternFill patternType="solid">
        <fgColor rgb="FF1E293B"/>
        <bgColor rgb="FF0F172A"/>
      </patternFill>
    </fill>
    <fill>
      <patternFill patternType="solid">
        <fgColor rgb="FF2563EB"/>
        <bgColor rgb="FF0066CC"/>
      </patternFill>
    </fill>
    <fill>
      <patternFill patternType="solid">
        <fgColor rgb="FFEFF6FF"/>
        <bgColor rgb="FFF1F5F9"/>
      </patternFill>
    </fill>
    <fill>
      <patternFill patternType="solid">
        <fgColor rgb="FFF8FAFC"/>
        <bgColor rgb="FFFFFFFF"/>
      </patternFill>
    </fill>
    <fill>
      <patternFill patternType="solid">
        <fgColor rgb="FFE2E8F0"/>
        <bgColor rgb="FFF1F5F9"/>
      </patternFill>
    </fill>
    <fill>
      <patternFill patternType="solid">
        <fgColor rgb="FF475569"/>
        <bgColor rgb="FF64748B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/>
      <diagonal/>
    </border>
    <border diagonalUp="false" diagonalDown="false">
      <left style="thin">
        <color rgb="FFCBD5E1"/>
      </left>
      <right style="thin">
        <color rgb="FFCBD5E1"/>
      </right>
      <top/>
      <bottom/>
      <diagonal/>
    </border>
    <border diagonalUp="false" diagonalDown="false"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medium">
        <color rgb="FF1E293B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double">
        <color rgb="FF1E293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2" fillId="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2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2" fontId="11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1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8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8FAFC"/>
      <rgbColor rgb="FFEFF6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9"/>
      <rgbColor rgb="FFE2E8F0"/>
      <rgbColor rgb="FFFFFF99"/>
      <rgbColor rgb="FF99CCFF"/>
      <rgbColor rgb="FFFF99CC"/>
      <rgbColor rgb="FFCC99FF"/>
      <rgbColor rgb="FFFFCC99"/>
      <rgbColor rgb="FF2563EB"/>
      <rgbColor rgb="FF33CCCC"/>
      <rgbColor rgb="FF98B855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47556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3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Kumulative Equity-Kurve (Kontoverlauf in 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Trades!P4</c:f>
              <c:strCache>
                <c:ptCount val="1"/>
                <c:pt idx="0">
                  <c:v>Kontostand (€)</c:v>
                </c:pt>
              </c:strCache>
            </c:strRef>
          </c:tx>
          <c:spPr>
            <a:solidFill>
              <a:srgbClr val="98B855"/>
            </a:solidFill>
            <a:ln w="1260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126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Trades!$A$5:$A$29</c:f>
              <c:strCach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strCache>
            </c:strRef>
          </c:cat>
          <c:val>
            <c:numRef>
              <c:f>Trades!$P$5:$P$29</c:f>
              <c:numCache>
                <c:formatCode>#,##0.00" €"</c:formatCode>
                <c:ptCount val="25"/>
                <c:pt idx="0">
                  <c:v>25235</c:v>
                </c:pt>
                <c:pt idx="1">
                  <c:v>25531</c:v>
                </c:pt>
                <c:pt idx="2">
                  <c:v>25328</c:v>
                </c:pt>
                <c:pt idx="3">
                  <c:v>25523</c:v>
                </c:pt>
                <c:pt idx="4">
                  <c:v>25965</c:v>
                </c:pt>
                <c:pt idx="5">
                  <c:v>25859</c:v>
                </c:pt>
                <c:pt idx="6">
                  <c:v>26255</c:v>
                </c:pt>
                <c:pt idx="7">
                  <c:v>26130</c:v>
                </c:pt>
                <c:pt idx="8">
                  <c:v>26446</c:v>
                </c:pt>
                <c:pt idx="9">
                  <c:v>26742.5</c:v>
                </c:pt>
                <c:pt idx="10">
                  <c:v>26997.5</c:v>
                </c:pt>
                <c:pt idx="11">
                  <c:v>27293.5</c:v>
                </c:pt>
                <c:pt idx="12">
                  <c:v>27110.5</c:v>
                </c:pt>
                <c:pt idx="13">
                  <c:v>27345.5</c:v>
                </c:pt>
                <c:pt idx="14">
                  <c:v>27489.5</c:v>
                </c:pt>
                <c:pt idx="15">
                  <c:v>27783.5</c:v>
                </c:pt>
                <c:pt idx="16">
                  <c:v>9779.49999999989</c:v>
                </c:pt>
                <c:pt idx="17">
                  <c:v>9880.49999999989</c:v>
                </c:pt>
                <c:pt idx="18">
                  <c:v>10155.4999999999</c:v>
                </c:pt>
                <c:pt idx="19">
                  <c:v>10400.4999999999</c:v>
                </c:pt>
                <c:pt idx="20">
                  <c:v>10196.4999999999</c:v>
                </c:pt>
                <c:pt idx="21">
                  <c:v>10638.4999999999</c:v>
                </c:pt>
                <c:pt idx="22">
                  <c:v>10972.4999999999</c:v>
                </c:pt>
                <c:pt idx="23">
                  <c:v>11267.4999999999</c:v>
                </c:pt>
                <c:pt idx="24">
                  <c:v>11661.4999999999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108010"/>
        <c:axId val="53333575"/>
      </c:lineChart>
      <c:catAx>
        <c:axId val="410801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Trade-Nummer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3333575"/>
        <c:crosses val="autoZero"/>
        <c:auto val="1"/>
        <c:lblAlgn val="ctr"/>
        <c:lblOffset val="100"/>
        <c:noMultiLvlLbl val="0"/>
      </c:catAx>
      <c:valAx>
        <c:axId val="5333357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Kontostand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10801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23</xdr:row>
      <xdr:rowOff>0</xdr:rowOff>
    </xdr:from>
    <xdr:to>
      <xdr:col>8</xdr:col>
      <xdr:colOff>840600</xdr:colOff>
      <xdr:row>41</xdr:row>
      <xdr:rowOff>96120</xdr:rowOff>
    </xdr:to>
    <xdr:graphicFrame>
      <xdr:nvGraphicFramePr>
        <xdr:cNvPr id="1" name="Chart 1"/>
        <xdr:cNvGraphicFramePr/>
      </xdr:nvGraphicFramePr>
      <xdr:xfrm>
        <a:off x="8740080" y="472752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48"/>
    <col collapsed="false" customWidth="true" hidden="false" outlineLevel="0" max="5" min="5" style="0" width="4"/>
    <col collapsed="false" customWidth="true" hidden="false" outlineLevel="0" max="6" min="6" style="0" width="32"/>
    <col collapsed="false" customWidth="true" hidden="false" outlineLevel="0" max="7" min="7" style="0" width="18"/>
    <col collapsed="false" customWidth="true" hidden="false" outlineLevel="0" max="8" min="8" style="0" width="30"/>
    <col collapsed="false" customWidth="true" hidden="false" outlineLevel="0" max="9" min="9" style="0" width="20"/>
    <col collapsed="false" customWidth="true" hidden="false" outlineLevel="0" max="10" min="10" style="0" width="4"/>
  </cols>
  <sheetData>
    <row r="1" customFormat="false" ht="24" hidden="false" customHeight="true" outlineLevel="0" collapsed="false">
      <c r="A1" s="1" t="s">
        <v>0</v>
      </c>
    </row>
    <row r="2" customFormat="false" ht="18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3" t="s">
        <v>3</v>
      </c>
      <c r="D4" s="3"/>
      <c r="E4" s="3" t="s">
        <v>4</v>
      </c>
      <c r="F4" s="3"/>
      <c r="G4" s="3" t="s">
        <v>5</v>
      </c>
      <c r="H4" s="3"/>
      <c r="I4" s="3" t="s">
        <v>6</v>
      </c>
      <c r="J4" s="3"/>
    </row>
    <row r="5" customFormat="false" ht="19.7" hidden="false" customHeight="false" outlineLevel="0" collapsed="false">
      <c r="A5" s="4" t="n">
        <f aca="false">COUNT(Trades!A5:A29)</f>
        <v>25</v>
      </c>
      <c r="B5" s="4"/>
      <c r="C5" s="5" t="n">
        <f aca="false">COUNTIF(Trades!M5:M29, "&gt;0")/COUNT(Trades!A5:A29)</f>
        <v>0.76</v>
      </c>
      <c r="D5" s="5"/>
      <c r="E5" s="6" t="n">
        <f aca="false">SUMIF(Trades!M5:M29, "&gt;0")/ABS(SUMIF(Trades!M5:M29, "&lt;0"))</f>
        <v>0.291447543160689</v>
      </c>
      <c r="F5" s="6"/>
      <c r="G5" s="7" t="n">
        <f aca="false">AVERAGE(Trades!M5:M29)</f>
        <v>-533.540000000005</v>
      </c>
      <c r="H5" s="7"/>
      <c r="I5" s="8" t="n">
        <f aca="false">AVERAGE(Trades!N5:N29)</f>
        <v>1.4252601058201</v>
      </c>
      <c r="J5" s="8"/>
    </row>
    <row r="6" customFormat="false" ht="15" hidden="false" customHeight="false" outlineLevel="0" collapsed="false">
      <c r="A6" s="9" t="s">
        <v>7</v>
      </c>
      <c r="B6" s="9"/>
      <c r="C6" s="9" t="s">
        <v>8</v>
      </c>
      <c r="D6" s="9"/>
      <c r="E6" s="9" t="s">
        <v>9</v>
      </c>
      <c r="F6" s="9"/>
      <c r="G6" s="9" t="s">
        <v>10</v>
      </c>
      <c r="H6" s="9"/>
      <c r="I6" s="9" t="s">
        <v>11</v>
      </c>
      <c r="J6" s="9"/>
    </row>
    <row r="8" customFormat="false" ht="15" hidden="false" customHeight="false" outlineLevel="0" collapsed="false">
      <c r="A8" s="3" t="s">
        <v>12</v>
      </c>
      <c r="B8" s="3"/>
      <c r="C8" s="3" t="s">
        <v>13</v>
      </c>
      <c r="D8" s="3"/>
      <c r="E8" s="3" t="s">
        <v>14</v>
      </c>
      <c r="F8" s="3"/>
      <c r="G8" s="3" t="s">
        <v>15</v>
      </c>
      <c r="H8" s="3"/>
      <c r="I8" s="3" t="s">
        <v>16</v>
      </c>
      <c r="J8" s="3"/>
    </row>
    <row r="9" customFormat="false" ht="19.7" hidden="false" customHeight="false" outlineLevel="0" collapsed="false">
      <c r="A9" s="7" t="n">
        <f aca="false">SUM(Trades!M5:M29)</f>
        <v>-13338.5000000001</v>
      </c>
      <c r="B9" s="7"/>
      <c r="C9" s="10" t="n">
        <f aca="false">Trades!P29</f>
        <v>11661.4999999999</v>
      </c>
      <c r="D9" s="10"/>
      <c r="E9" s="6" t="n">
        <f aca="false">AVERAGEIF(Trades!M5:M29, "&gt;0")/ABS(AVERAGEIF(Trades!M5:M29, "&lt;0"))</f>
        <v>0.0920360662612702</v>
      </c>
      <c r="F9" s="6"/>
      <c r="G9" s="5" t="n">
        <f aca="false">COUNTIF(Trades!Q5:Q29, "Ja")/COUNT(Trades!A5:A29)</f>
        <v>0.84</v>
      </c>
      <c r="H9" s="5"/>
      <c r="I9" s="5" t="n">
        <f aca="false">ABS(AVERAGEIF(Trades!M5:M29, "&lt;0"))/(AVERAGEIF(Trades!M5:M29, "&gt;0")+ABS(AVERAGEIF(Trades!M5:M29, "&lt;0")))</f>
        <v>0.915720671592498</v>
      </c>
      <c r="J9" s="5"/>
    </row>
    <row r="10" customFormat="false" ht="15" hidden="false" customHeight="false" outlineLevel="0" collapsed="false">
      <c r="A10" s="9" t="s">
        <v>17</v>
      </c>
      <c r="B10" s="9"/>
      <c r="C10" s="9" t="s">
        <v>18</v>
      </c>
      <c r="D10" s="9"/>
      <c r="E10" s="9" t="s">
        <v>19</v>
      </c>
      <c r="F10" s="9"/>
      <c r="G10" s="9" t="s">
        <v>20</v>
      </c>
      <c r="H10" s="9"/>
      <c r="I10" s="9" t="s">
        <v>21</v>
      </c>
      <c r="J10" s="9"/>
    </row>
    <row r="12" customFormat="false" ht="15" hidden="false" customHeight="false" outlineLevel="0" collapsed="false">
      <c r="A12" s="11" t="s">
        <v>22</v>
      </c>
      <c r="F12" s="11" t="s">
        <v>23</v>
      </c>
    </row>
    <row r="13" customFormat="false" ht="15" hidden="false" customHeight="false" outlineLevel="0" collapsed="false">
      <c r="A13" s="12" t="s">
        <v>24</v>
      </c>
      <c r="B13" s="12" t="s">
        <v>25</v>
      </c>
      <c r="C13" s="12" t="s">
        <v>26</v>
      </c>
      <c r="D13" s="12" t="s">
        <v>27</v>
      </c>
      <c r="F13" s="13" t="s">
        <v>28</v>
      </c>
      <c r="G13" s="13" t="s">
        <v>29</v>
      </c>
      <c r="H13" s="13" t="s">
        <v>30</v>
      </c>
      <c r="I13" s="13" t="s">
        <v>31</v>
      </c>
    </row>
    <row r="14" customFormat="false" ht="20.85" hidden="false" customHeight="false" outlineLevel="0" collapsed="false">
      <c r="A14" s="14" t="s">
        <v>32</v>
      </c>
      <c r="B14" s="15" t="n">
        <f aca="false">COUNT(Trades!A5:A29)</f>
        <v>25</v>
      </c>
      <c r="C14" s="16" t="s">
        <v>33</v>
      </c>
      <c r="D14" s="17" t="s">
        <v>34</v>
      </c>
      <c r="F14" s="14" t="s">
        <v>35</v>
      </c>
      <c r="G14" s="18" t="n">
        <v>0.6</v>
      </c>
      <c r="H14" s="14" t="s">
        <v>36</v>
      </c>
      <c r="I14" s="19" t="n">
        <f aca="false">G14*G16-(1-G14)*G17</f>
        <v>170</v>
      </c>
    </row>
    <row r="15" customFormat="false" ht="15" hidden="false" customHeight="false" outlineLevel="0" collapsed="false">
      <c r="A15" s="20" t="s">
        <v>37</v>
      </c>
      <c r="B15" s="21" t="n">
        <f aca="false">COUNTIF(Trades!M5:M29, "&gt;0")</f>
        <v>19</v>
      </c>
      <c r="C15" s="22" t="s">
        <v>33</v>
      </c>
      <c r="D15" s="23" t="s">
        <v>38</v>
      </c>
      <c r="F15" s="20" t="s">
        <v>39</v>
      </c>
      <c r="G15" s="24" t="n">
        <v>250</v>
      </c>
      <c r="H15" s="20" t="s">
        <v>40</v>
      </c>
      <c r="I15" s="25" t="n">
        <f aca="false">I14/G15</f>
        <v>0.68</v>
      </c>
    </row>
    <row r="16" customFormat="false" ht="15" hidden="false" customHeight="false" outlineLevel="0" collapsed="false">
      <c r="A16" s="14" t="s">
        <v>41</v>
      </c>
      <c r="B16" s="15" t="n">
        <f aca="false">COUNTIF(Trades!M5:M29, "&lt;0")</f>
        <v>6</v>
      </c>
      <c r="C16" s="16" t="s">
        <v>33</v>
      </c>
      <c r="D16" s="17" t="s">
        <v>42</v>
      </c>
      <c r="F16" s="14" t="s">
        <v>43</v>
      </c>
      <c r="G16" s="24" t="n">
        <v>450</v>
      </c>
      <c r="H16" s="14" t="s">
        <v>44</v>
      </c>
      <c r="I16" s="26" t="n">
        <f aca="false">(G14*G16)/((1-G14)*G17)</f>
        <v>2.7</v>
      </c>
    </row>
    <row r="17" customFormat="false" ht="15" hidden="false" customHeight="false" outlineLevel="0" collapsed="false">
      <c r="A17" s="20" t="s">
        <v>45</v>
      </c>
      <c r="B17" s="21" t="n">
        <f aca="false">COUNTIF(Trades!M5:M29, "=0")</f>
        <v>0</v>
      </c>
      <c r="C17" s="22" t="s">
        <v>33</v>
      </c>
      <c r="D17" s="23" t="s">
        <v>46</v>
      </c>
      <c r="F17" s="20" t="s">
        <v>47</v>
      </c>
      <c r="G17" s="24" t="n">
        <v>250</v>
      </c>
      <c r="H17" s="20" t="s">
        <v>48</v>
      </c>
      <c r="I17" s="27" t="n">
        <f aca="false">G17/(G16+G17)</f>
        <v>0.357142857142857</v>
      </c>
    </row>
    <row r="18" customFormat="false" ht="15" hidden="false" customHeight="false" outlineLevel="0" collapsed="false">
      <c r="A18" s="14" t="s">
        <v>49</v>
      </c>
      <c r="B18" s="28" t="n">
        <f aca="false">COUNTIF(Trades!M5:M29, "&gt;0")/COUNT(Trades!A5:A29)</f>
        <v>0.76</v>
      </c>
      <c r="C18" s="16" t="s">
        <v>50</v>
      </c>
      <c r="D18" s="17" t="s">
        <v>51</v>
      </c>
      <c r="F18" s="14" t="s">
        <v>52</v>
      </c>
      <c r="G18" s="29" t="n">
        <v>20</v>
      </c>
      <c r="H18" s="14" t="s">
        <v>53</v>
      </c>
      <c r="I18" s="19" t="n">
        <f aca="false">G18*I14</f>
        <v>3400</v>
      </c>
    </row>
    <row r="19" customFormat="false" ht="15" hidden="false" customHeight="false" outlineLevel="0" collapsed="false">
      <c r="A19" s="20" t="s">
        <v>54</v>
      </c>
      <c r="B19" s="30" t="n">
        <f aca="false">SUMIF(Trades!M5:M29, "&gt;0")</f>
        <v>5486.5</v>
      </c>
      <c r="C19" s="22" t="s">
        <v>55</v>
      </c>
      <c r="D19" s="23" t="s">
        <v>56</v>
      </c>
      <c r="F19" s="20" t="s">
        <v>57</v>
      </c>
      <c r="G19" s="24" t="n">
        <v>25000</v>
      </c>
      <c r="H19" s="20" t="s">
        <v>58</v>
      </c>
      <c r="I19" s="27" t="n">
        <f aca="false">I18/G19</f>
        <v>0.136</v>
      </c>
    </row>
    <row r="20" customFormat="false" ht="15" hidden="false" customHeight="false" outlineLevel="0" collapsed="false">
      <c r="A20" s="14" t="s">
        <v>59</v>
      </c>
      <c r="B20" s="31" t="n">
        <f aca="false">SUMIF(Trades!M5:M29, "&lt;0")</f>
        <v>-18825.0000000001</v>
      </c>
      <c r="C20" s="16" t="s">
        <v>55</v>
      </c>
      <c r="D20" s="17" t="s">
        <v>60</v>
      </c>
      <c r="F20" s="14" t="s">
        <v>61</v>
      </c>
      <c r="G20" s="28" t="n">
        <f aca="false">G15/G19</f>
        <v>0.01</v>
      </c>
      <c r="H20" s="14" t="s">
        <v>62</v>
      </c>
      <c r="I20" s="26" t="n">
        <f aca="false">G16/G17</f>
        <v>1.8</v>
      </c>
    </row>
    <row r="21" customFormat="false" ht="15" hidden="false" customHeight="false" outlineLevel="0" collapsed="false">
      <c r="A21" s="20" t="s">
        <v>44</v>
      </c>
      <c r="B21" s="32" t="n">
        <f aca="false">SUMIF(Trades!M5:M29, "&gt;0")/ABS(SUMIF(Trades!M5:M29, "&lt;0"))</f>
        <v>0.291447543160689</v>
      </c>
      <c r="C21" s="22" t="s">
        <v>63</v>
      </c>
      <c r="D21" s="23" t="s">
        <v>64</v>
      </c>
      <c r="F21" s="20" t="s">
        <v>65</v>
      </c>
      <c r="G21" s="33" t="n">
        <f aca="false">G19/G15</f>
        <v>100</v>
      </c>
      <c r="H21" s="20" t="s">
        <v>66</v>
      </c>
      <c r="I21" s="34" t="n">
        <f aca="false">G18/20</f>
        <v>1</v>
      </c>
    </row>
    <row r="22" customFormat="false" ht="15" hidden="false" customHeight="false" outlineLevel="0" collapsed="false">
      <c r="A22" s="14" t="s">
        <v>67</v>
      </c>
      <c r="B22" s="31" t="n">
        <f aca="false">AVERAGEIF(Trades!M5:M29, "&gt;0")</f>
        <v>288.763157894737</v>
      </c>
      <c r="C22" s="16" t="s">
        <v>55</v>
      </c>
      <c r="D22" s="17" t="s">
        <v>68</v>
      </c>
      <c r="F22" s="35" t="s">
        <v>69</v>
      </c>
    </row>
    <row r="23" customFormat="false" ht="15" hidden="false" customHeight="false" outlineLevel="0" collapsed="false">
      <c r="A23" s="20" t="s">
        <v>70</v>
      </c>
      <c r="B23" s="30" t="n">
        <f aca="false">AVERAGEIF(Trades!M5:M29, "&lt;0")</f>
        <v>-3137.50000000002</v>
      </c>
      <c r="C23" s="22" t="s">
        <v>55</v>
      </c>
      <c r="D23" s="23" t="s">
        <v>71</v>
      </c>
    </row>
    <row r="24" customFormat="false" ht="20.85" hidden="false" customHeight="false" outlineLevel="0" collapsed="false">
      <c r="A24" s="14" t="s">
        <v>72</v>
      </c>
      <c r="B24" s="26" t="n">
        <f aca="false">AVERAGEIF(Trades!M5:M29, "&gt;0")/ABS(AVERAGEIF(Trades!M5:M29, "&lt;0"))</f>
        <v>0.0920360662612702</v>
      </c>
      <c r="C24" s="16" t="s">
        <v>73</v>
      </c>
      <c r="D24" s="17" t="s">
        <v>74</v>
      </c>
    </row>
    <row r="25" customFormat="false" ht="15" hidden="false" customHeight="false" outlineLevel="0" collapsed="false">
      <c r="A25" s="20" t="s">
        <v>36</v>
      </c>
      <c r="B25" s="36" t="n">
        <f aca="false">AVERAGE(Trades!M5:M29)</f>
        <v>-533.540000000005</v>
      </c>
      <c r="C25" s="22" t="s">
        <v>75</v>
      </c>
      <c r="D25" s="23" t="s">
        <v>76</v>
      </c>
    </row>
    <row r="26" customFormat="false" ht="15" hidden="false" customHeight="false" outlineLevel="0" collapsed="false">
      <c r="A26" s="14" t="s">
        <v>40</v>
      </c>
      <c r="B26" s="37" t="n">
        <f aca="false">AVERAGE(Trades!N5:N29)</f>
        <v>1.4252601058201</v>
      </c>
      <c r="C26" s="16" t="s">
        <v>77</v>
      </c>
      <c r="D26" s="17" t="s">
        <v>78</v>
      </c>
    </row>
    <row r="27" customFormat="false" ht="15" hidden="false" customHeight="false" outlineLevel="0" collapsed="false">
      <c r="A27" s="20" t="s">
        <v>79</v>
      </c>
      <c r="B27" s="36" t="n">
        <f aca="false">MAX(Trades!M5:M29)</f>
        <v>442</v>
      </c>
      <c r="C27" s="22" t="s">
        <v>55</v>
      </c>
      <c r="D27" s="23" t="s">
        <v>80</v>
      </c>
    </row>
    <row r="28" customFormat="false" ht="15" hidden="false" customHeight="false" outlineLevel="0" collapsed="false">
      <c r="A28" s="14" t="s">
        <v>81</v>
      </c>
      <c r="B28" s="19" t="n">
        <f aca="false">MIN(Trades!M5:M29)</f>
        <v>-18004.0000000001</v>
      </c>
      <c r="C28" s="16" t="s">
        <v>55</v>
      </c>
      <c r="D28" s="17" t="s">
        <v>82</v>
      </c>
    </row>
    <row r="29" customFormat="false" ht="15" hidden="false" customHeight="false" outlineLevel="0" collapsed="false">
      <c r="A29" s="20" t="s">
        <v>83</v>
      </c>
      <c r="B29" s="25" t="n">
        <f aca="false">MAX(Trades!N5:N29)</f>
        <v>2.94666666666667</v>
      </c>
      <c r="C29" s="22" t="s">
        <v>84</v>
      </c>
      <c r="D29" s="23" t="s">
        <v>85</v>
      </c>
    </row>
    <row r="30" customFormat="false" ht="15" hidden="false" customHeight="false" outlineLevel="0" collapsed="false">
      <c r="A30" s="14" t="s">
        <v>86</v>
      </c>
      <c r="B30" s="37" t="n">
        <f aca="false">MIN(Trades!N5:N29)</f>
        <v>-1.36000000000005</v>
      </c>
      <c r="C30" s="16" t="s">
        <v>84</v>
      </c>
      <c r="D30" s="17" t="s">
        <v>87</v>
      </c>
    </row>
    <row r="31" customFormat="false" ht="15" hidden="false" customHeight="false" outlineLevel="0" collapsed="false">
      <c r="A31" s="20" t="s">
        <v>88</v>
      </c>
      <c r="B31" s="30" t="n">
        <f aca="false">SUM(Trades!K5:K29)</f>
        <v>121</v>
      </c>
      <c r="C31" s="22" t="s">
        <v>55</v>
      </c>
      <c r="D31" s="23" t="s">
        <v>89</v>
      </c>
    </row>
    <row r="32" customFormat="false" ht="15" hidden="false" customHeight="false" outlineLevel="0" collapsed="false">
      <c r="A32" s="14" t="s">
        <v>90</v>
      </c>
      <c r="B32" s="28" t="n">
        <f aca="false">ABS(AVERAGEIF(Trades!M5:M29, "&lt;0"))/(AVERAGEIF(Trades!M5:M29, "&gt;0")+ABS(AVERAGEIF(Trades!M5:M29, "&lt;0")))</f>
        <v>0.915720671592498</v>
      </c>
      <c r="C32" s="16" t="s">
        <v>91</v>
      </c>
      <c r="D32" s="17" t="s">
        <v>92</v>
      </c>
    </row>
    <row r="33" customFormat="false" ht="15" hidden="false" customHeight="false" outlineLevel="0" collapsed="false">
      <c r="A33" s="20" t="s">
        <v>93</v>
      </c>
      <c r="B33" s="27" t="n">
        <f aca="false">COUNTIF(Trades!Q5:Q29, "Ja")/COUNT(Trades!A5:A29)</f>
        <v>0.84</v>
      </c>
      <c r="C33" s="22" t="s">
        <v>94</v>
      </c>
      <c r="D33" s="23" t="s">
        <v>95</v>
      </c>
    </row>
  </sheetData>
  <mergeCells count="30"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4" min="3" style="0" width="15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9" min="7" style="0" width="14"/>
    <col collapsed="false" customWidth="true" hidden="false" outlineLevel="0" max="10" min="10" style="0" width="15"/>
    <col collapsed="false" customWidth="true" hidden="false" outlineLevel="0" max="11" min="11" style="0" width="14"/>
    <col collapsed="false" customWidth="true" hidden="false" outlineLevel="0" max="12" min="12" style="0" width="18"/>
    <col collapsed="false" customWidth="true" hidden="false" outlineLevel="0" max="13" min="13" style="0" width="20"/>
    <col collapsed="false" customWidth="true" hidden="false" outlineLevel="0" max="14" min="14" style="0" width="14"/>
    <col collapsed="false" customWidth="true" hidden="false" outlineLevel="0" max="15" min="15" style="0" width="20"/>
    <col collapsed="false" customWidth="true" hidden="false" outlineLevel="0" max="16" min="16" style="0" width="18"/>
    <col collapsed="false" customWidth="true" hidden="false" outlineLevel="0" max="17" min="17" style="0" width="13"/>
    <col collapsed="false" customWidth="true" hidden="false" outlineLevel="0" max="18" min="18" style="0" width="26"/>
    <col collapsed="false" customWidth="true" hidden="false" outlineLevel="0" max="19" min="19" style="0" width="38"/>
  </cols>
  <sheetData>
    <row r="1" customFormat="false" ht="24" hidden="false" customHeight="true" outlineLevel="0" collapsed="false">
      <c r="A1" s="1" t="s">
        <v>96</v>
      </c>
    </row>
    <row r="2" customFormat="false" ht="18" hidden="false" customHeight="true" outlineLevel="0" collapsed="false">
      <c r="A2" s="2" t="s">
        <v>97</v>
      </c>
      <c r="N2" s="38" t="s">
        <v>98</v>
      </c>
      <c r="O2" s="39" t="n">
        <v>25000</v>
      </c>
    </row>
    <row r="4" customFormat="false" ht="15" hidden="false" customHeight="false" outlineLevel="0" collapsed="false">
      <c r="A4" s="12" t="s">
        <v>99</v>
      </c>
      <c r="B4" s="12" t="s">
        <v>100</v>
      </c>
      <c r="C4" s="12" t="s">
        <v>101</v>
      </c>
      <c r="D4" s="12" t="s">
        <v>102</v>
      </c>
      <c r="E4" s="12" t="s">
        <v>103</v>
      </c>
      <c r="F4" s="12" t="s">
        <v>104</v>
      </c>
      <c r="G4" s="12" t="s">
        <v>105</v>
      </c>
      <c r="H4" s="12" t="s">
        <v>106</v>
      </c>
      <c r="I4" s="12" t="s">
        <v>107</v>
      </c>
      <c r="J4" s="12" t="s">
        <v>108</v>
      </c>
      <c r="K4" s="12" t="s">
        <v>109</v>
      </c>
      <c r="L4" s="12" t="s">
        <v>110</v>
      </c>
      <c r="M4" s="12" t="s">
        <v>111</v>
      </c>
      <c r="N4" s="12" t="s">
        <v>112</v>
      </c>
      <c r="O4" s="12" t="s">
        <v>113</v>
      </c>
      <c r="P4" s="12" t="s">
        <v>114</v>
      </c>
      <c r="Q4" s="12" t="s">
        <v>115</v>
      </c>
      <c r="R4" s="12" t="s">
        <v>116</v>
      </c>
      <c r="S4" s="12" t="s">
        <v>117</v>
      </c>
    </row>
    <row r="5" customFormat="false" ht="15" hidden="false" customHeight="false" outlineLevel="0" collapsed="false">
      <c r="A5" s="16" t="n">
        <v>1</v>
      </c>
      <c r="B5" s="16" t="s">
        <v>118</v>
      </c>
      <c r="C5" s="16" t="s">
        <v>119</v>
      </c>
      <c r="D5" s="16" t="s">
        <v>120</v>
      </c>
      <c r="E5" s="16" t="s">
        <v>121</v>
      </c>
      <c r="F5" s="14" t="s">
        <v>122</v>
      </c>
      <c r="G5" s="40" t="n">
        <v>19800</v>
      </c>
      <c r="H5" s="40" t="n">
        <v>19750</v>
      </c>
      <c r="I5" s="40" t="n">
        <v>19920</v>
      </c>
      <c r="J5" s="40" t="n">
        <v>2</v>
      </c>
      <c r="K5" s="41" t="n">
        <v>5</v>
      </c>
      <c r="L5" s="41" t="n">
        <f aca="false">ABS(G5-H5)*J5</f>
        <v>100</v>
      </c>
      <c r="M5" s="42" t="n">
        <f aca="false">IF(E5="Long",(I5-G5)*J5-K5,(G5-I5)*J5-K5)</f>
        <v>235</v>
      </c>
      <c r="N5" s="43" t="n">
        <f aca="false">IF(L5&gt;0,M5/L5,0)</f>
        <v>2.35</v>
      </c>
      <c r="O5" s="42" t="n">
        <f aca="false">M5</f>
        <v>235</v>
      </c>
      <c r="P5" s="41" t="n">
        <f aca="false">$O$2+M5</f>
        <v>25235</v>
      </c>
      <c r="Q5" s="16" t="s">
        <v>123</v>
      </c>
      <c r="R5" s="14" t="s">
        <v>124</v>
      </c>
      <c r="S5" s="14" t="s">
        <v>125</v>
      </c>
    </row>
    <row r="6" customFormat="false" ht="15" hidden="false" customHeight="false" outlineLevel="0" collapsed="false">
      <c r="A6" s="22" t="n">
        <v>2</v>
      </c>
      <c r="B6" s="22" t="s">
        <v>126</v>
      </c>
      <c r="C6" s="22" t="s">
        <v>127</v>
      </c>
      <c r="D6" s="22" t="s">
        <v>128</v>
      </c>
      <c r="E6" s="22" t="s">
        <v>129</v>
      </c>
      <c r="F6" s="20" t="s">
        <v>130</v>
      </c>
      <c r="G6" s="44" t="n">
        <v>1.085</v>
      </c>
      <c r="H6" s="44" t="n">
        <v>1.088</v>
      </c>
      <c r="I6" s="44" t="n">
        <v>1.079</v>
      </c>
      <c r="J6" s="44" t="n">
        <v>50000</v>
      </c>
      <c r="K6" s="45" t="n">
        <v>4</v>
      </c>
      <c r="L6" s="45" t="n">
        <f aca="false">ABS(G6-H6)*J6</f>
        <v>150.000000000006</v>
      </c>
      <c r="M6" s="46" t="n">
        <f aca="false">IF(E6="Long",(I6-G6)*J6-K6,(G6-I6)*J6-K6)</f>
        <v>296</v>
      </c>
      <c r="N6" s="47" t="n">
        <f aca="false">IF(L6&gt;0,M6/L6,0)</f>
        <v>1.97333333333326</v>
      </c>
      <c r="O6" s="46" t="n">
        <f aca="false">O5+M6</f>
        <v>531</v>
      </c>
      <c r="P6" s="45" t="n">
        <f aca="false">P5+M6</f>
        <v>25531</v>
      </c>
      <c r="Q6" s="22" t="s">
        <v>123</v>
      </c>
      <c r="R6" s="20" t="s">
        <v>124</v>
      </c>
      <c r="S6" s="20" t="s">
        <v>131</v>
      </c>
    </row>
    <row r="7" customFormat="false" ht="15" hidden="false" customHeight="false" outlineLevel="0" collapsed="false">
      <c r="A7" s="16" t="n">
        <v>3</v>
      </c>
      <c r="B7" s="16" t="s">
        <v>132</v>
      </c>
      <c r="C7" s="16" t="s">
        <v>133</v>
      </c>
      <c r="D7" s="16" t="s">
        <v>134</v>
      </c>
      <c r="E7" s="16" t="s">
        <v>121</v>
      </c>
      <c r="F7" s="14" t="s">
        <v>135</v>
      </c>
      <c r="G7" s="40" t="n">
        <v>225</v>
      </c>
      <c r="H7" s="40" t="n">
        <v>222</v>
      </c>
      <c r="I7" s="40" t="n">
        <v>221</v>
      </c>
      <c r="J7" s="40" t="n">
        <v>50</v>
      </c>
      <c r="K7" s="41" t="n">
        <v>3</v>
      </c>
      <c r="L7" s="41" t="n">
        <f aca="false">ABS(G7-H7)*J7</f>
        <v>150</v>
      </c>
      <c r="M7" s="42" t="n">
        <f aca="false">IF(E7="Long",(I7-G7)*J7-K7,(G7-I7)*J7-K7)</f>
        <v>-203</v>
      </c>
      <c r="N7" s="43" t="n">
        <f aca="false">IF(L7&gt;0,M7/L7,0)</f>
        <v>-1.35333333333333</v>
      </c>
      <c r="O7" s="42" t="n">
        <f aca="false">O6+M7</f>
        <v>328</v>
      </c>
      <c r="P7" s="41" t="n">
        <f aca="false">P6+M7</f>
        <v>25328</v>
      </c>
      <c r="Q7" s="16" t="s">
        <v>123</v>
      </c>
      <c r="R7" s="14" t="s">
        <v>124</v>
      </c>
      <c r="S7" s="14" t="s">
        <v>136</v>
      </c>
    </row>
    <row r="8" customFormat="false" ht="15" hidden="false" customHeight="false" outlineLevel="0" collapsed="false">
      <c r="A8" s="22" t="n">
        <v>4</v>
      </c>
      <c r="B8" s="22" t="s">
        <v>137</v>
      </c>
      <c r="C8" s="22" t="s">
        <v>119</v>
      </c>
      <c r="D8" s="22" t="s">
        <v>120</v>
      </c>
      <c r="E8" s="22" t="s">
        <v>129</v>
      </c>
      <c r="F8" s="20" t="s">
        <v>138</v>
      </c>
      <c r="G8" s="44" t="n">
        <v>19950</v>
      </c>
      <c r="H8" s="44" t="n">
        <v>20000</v>
      </c>
      <c r="I8" s="44" t="n">
        <v>19850</v>
      </c>
      <c r="J8" s="44" t="n">
        <v>2</v>
      </c>
      <c r="K8" s="45" t="n">
        <v>5</v>
      </c>
      <c r="L8" s="45" t="n">
        <f aca="false">ABS(G8-H8)*J8</f>
        <v>100</v>
      </c>
      <c r="M8" s="46" t="n">
        <f aca="false">IF(E8="Long",(I8-G8)*J8-K8,(G8-I8)*J8-K8)</f>
        <v>195</v>
      </c>
      <c r="N8" s="47" t="n">
        <f aca="false">IF(L8&gt;0,M8/L8,0)</f>
        <v>1.95</v>
      </c>
      <c r="O8" s="46" t="n">
        <f aca="false">O7+M8</f>
        <v>523</v>
      </c>
      <c r="P8" s="45" t="n">
        <f aca="false">P7+M8</f>
        <v>25523</v>
      </c>
      <c r="Q8" s="22" t="s">
        <v>123</v>
      </c>
      <c r="R8" s="20" t="s">
        <v>124</v>
      </c>
      <c r="S8" s="20" t="s">
        <v>139</v>
      </c>
    </row>
    <row r="9" customFormat="false" ht="15" hidden="false" customHeight="false" outlineLevel="0" collapsed="false">
      <c r="A9" s="16" t="n">
        <v>5</v>
      </c>
      <c r="B9" s="16" t="s">
        <v>140</v>
      </c>
      <c r="C9" s="16" t="s">
        <v>141</v>
      </c>
      <c r="D9" s="16" t="s">
        <v>142</v>
      </c>
      <c r="E9" s="16" t="s">
        <v>121</v>
      </c>
      <c r="F9" s="14" t="s">
        <v>122</v>
      </c>
      <c r="G9" s="40" t="n">
        <v>95000</v>
      </c>
      <c r="H9" s="40" t="n">
        <v>93500</v>
      </c>
      <c r="I9" s="40" t="n">
        <v>99500</v>
      </c>
      <c r="J9" s="40" t="n">
        <v>0.1</v>
      </c>
      <c r="K9" s="41" t="n">
        <v>8</v>
      </c>
      <c r="L9" s="41" t="n">
        <f aca="false">ABS(G9-H9)*J9</f>
        <v>150</v>
      </c>
      <c r="M9" s="42" t="n">
        <f aca="false">IF(E9="Long",(I9-G9)*J9-K9,(G9-I9)*J9-K9)</f>
        <v>442</v>
      </c>
      <c r="N9" s="43" t="n">
        <f aca="false">IF(L9&gt;0,M9/L9,0)</f>
        <v>2.94666666666667</v>
      </c>
      <c r="O9" s="42" t="n">
        <f aca="false">O8+M9</f>
        <v>965</v>
      </c>
      <c r="P9" s="41" t="n">
        <f aca="false">P8+M9</f>
        <v>25965</v>
      </c>
      <c r="Q9" s="16" t="s">
        <v>123</v>
      </c>
      <c r="R9" s="14" t="s">
        <v>124</v>
      </c>
      <c r="S9" s="14" t="s">
        <v>143</v>
      </c>
    </row>
    <row r="10" customFormat="false" ht="15" hidden="false" customHeight="false" outlineLevel="0" collapsed="false">
      <c r="A10" s="22" t="n">
        <v>6</v>
      </c>
      <c r="B10" s="22" t="s">
        <v>144</v>
      </c>
      <c r="C10" s="22" t="s">
        <v>145</v>
      </c>
      <c r="D10" s="22" t="s">
        <v>146</v>
      </c>
      <c r="E10" s="22" t="s">
        <v>121</v>
      </c>
      <c r="F10" s="20" t="s">
        <v>135</v>
      </c>
      <c r="G10" s="44" t="n">
        <v>2650</v>
      </c>
      <c r="H10" s="44" t="n">
        <v>2635</v>
      </c>
      <c r="I10" s="44" t="n">
        <v>2640</v>
      </c>
      <c r="J10" s="44" t="n">
        <v>10</v>
      </c>
      <c r="K10" s="45" t="n">
        <v>6</v>
      </c>
      <c r="L10" s="45" t="n">
        <f aca="false">ABS(G10-H10)*J10</f>
        <v>150</v>
      </c>
      <c r="M10" s="46" t="n">
        <f aca="false">IF(E10="Long",(I10-G10)*J10-K10,(G10-I10)*J10-K10)</f>
        <v>-106</v>
      </c>
      <c r="N10" s="47" t="n">
        <f aca="false">IF(L10&gt;0,M10/L10,0)</f>
        <v>-0.706666666666667</v>
      </c>
      <c r="O10" s="46" t="n">
        <f aca="false">O9+M10</f>
        <v>859</v>
      </c>
      <c r="P10" s="45" t="n">
        <f aca="false">P9+M10</f>
        <v>25859</v>
      </c>
      <c r="Q10" s="22" t="s">
        <v>123</v>
      </c>
      <c r="R10" s="20" t="s">
        <v>124</v>
      </c>
      <c r="S10" s="20" t="s">
        <v>147</v>
      </c>
    </row>
    <row r="11" customFormat="false" ht="15" hidden="false" customHeight="false" outlineLevel="0" collapsed="false">
      <c r="A11" s="16" t="n">
        <v>7</v>
      </c>
      <c r="B11" s="16" t="s">
        <v>148</v>
      </c>
      <c r="C11" s="16" t="s">
        <v>149</v>
      </c>
      <c r="D11" s="16" t="s">
        <v>134</v>
      </c>
      <c r="E11" s="16" t="s">
        <v>121</v>
      </c>
      <c r="F11" s="14" t="s">
        <v>130</v>
      </c>
      <c r="G11" s="40" t="n">
        <v>135</v>
      </c>
      <c r="H11" s="40" t="n">
        <v>131</v>
      </c>
      <c r="I11" s="40" t="n">
        <v>145</v>
      </c>
      <c r="J11" s="40" t="n">
        <v>40</v>
      </c>
      <c r="K11" s="41" t="n">
        <v>4</v>
      </c>
      <c r="L11" s="41" t="n">
        <f aca="false">ABS(G11-H11)*J11</f>
        <v>160</v>
      </c>
      <c r="M11" s="42" t="n">
        <f aca="false">IF(E11="Long",(I11-G11)*J11-K11,(G11-I11)*J11-K11)</f>
        <v>396</v>
      </c>
      <c r="N11" s="43" t="n">
        <f aca="false">IF(L11&gt;0,M11/L11,0)</f>
        <v>2.475</v>
      </c>
      <c r="O11" s="42" t="n">
        <f aca="false">O10+M11</f>
        <v>1255</v>
      </c>
      <c r="P11" s="41" t="n">
        <f aca="false">P10+M11</f>
        <v>26255</v>
      </c>
      <c r="Q11" s="16" t="s">
        <v>123</v>
      </c>
      <c r="R11" s="14" t="s">
        <v>124</v>
      </c>
      <c r="S11" s="14" t="s">
        <v>150</v>
      </c>
    </row>
    <row r="12" customFormat="false" ht="15" hidden="false" customHeight="false" outlineLevel="0" collapsed="false">
      <c r="A12" s="22" t="n">
        <v>8</v>
      </c>
      <c r="B12" s="22" t="s">
        <v>151</v>
      </c>
      <c r="C12" s="22" t="s">
        <v>119</v>
      </c>
      <c r="D12" s="22" t="s">
        <v>120</v>
      </c>
      <c r="E12" s="22" t="s">
        <v>121</v>
      </c>
      <c r="F12" s="20" t="s">
        <v>122</v>
      </c>
      <c r="G12" s="44" t="n">
        <v>20100</v>
      </c>
      <c r="H12" s="44" t="n">
        <v>20050</v>
      </c>
      <c r="I12" s="44" t="n">
        <v>20040</v>
      </c>
      <c r="J12" s="44" t="n">
        <v>2</v>
      </c>
      <c r="K12" s="45" t="n">
        <v>5</v>
      </c>
      <c r="L12" s="45" t="n">
        <f aca="false">ABS(G12-H12)*J12</f>
        <v>100</v>
      </c>
      <c r="M12" s="46" t="n">
        <f aca="false">IF(E12="Long",(I12-G12)*J12-K12,(G12-I12)*J12-K12)</f>
        <v>-125</v>
      </c>
      <c r="N12" s="47" t="n">
        <f aca="false">IF(L12&gt;0,M12/L12,0)</f>
        <v>-1.25</v>
      </c>
      <c r="O12" s="46" t="n">
        <f aca="false">O11+M12</f>
        <v>1130</v>
      </c>
      <c r="P12" s="45" t="n">
        <f aca="false">P11+M12</f>
        <v>26130</v>
      </c>
      <c r="Q12" s="22" t="s">
        <v>152</v>
      </c>
      <c r="R12" s="20" t="s">
        <v>153</v>
      </c>
      <c r="S12" s="20" t="s">
        <v>154</v>
      </c>
    </row>
    <row r="13" customFormat="false" ht="15" hidden="false" customHeight="false" outlineLevel="0" collapsed="false">
      <c r="A13" s="16" t="n">
        <v>9</v>
      </c>
      <c r="B13" s="16" t="s">
        <v>155</v>
      </c>
      <c r="C13" s="16" t="s">
        <v>156</v>
      </c>
      <c r="D13" s="16" t="s">
        <v>128</v>
      </c>
      <c r="E13" s="16" t="s">
        <v>129</v>
      </c>
      <c r="F13" s="14" t="s">
        <v>135</v>
      </c>
      <c r="G13" s="40" t="n">
        <v>1.272</v>
      </c>
      <c r="H13" s="40" t="n">
        <v>1.276</v>
      </c>
      <c r="I13" s="40" t="n">
        <v>1.264</v>
      </c>
      <c r="J13" s="40" t="n">
        <v>40000</v>
      </c>
      <c r="K13" s="41" t="n">
        <v>4</v>
      </c>
      <c r="L13" s="41" t="n">
        <f aca="false">ABS(G13-H13)*J13</f>
        <v>160</v>
      </c>
      <c r="M13" s="42" t="n">
        <f aca="false">IF(E13="Long",(I13-G13)*J13-K13,(G13-I13)*J13-K13)</f>
        <v>316</v>
      </c>
      <c r="N13" s="43" t="n">
        <f aca="false">IF(L13&gt;0,M13/L13,0)</f>
        <v>1.975</v>
      </c>
      <c r="O13" s="42" t="n">
        <f aca="false">O12+M13</f>
        <v>1446</v>
      </c>
      <c r="P13" s="41" t="n">
        <f aca="false">P12+M13</f>
        <v>26446</v>
      </c>
      <c r="Q13" s="16" t="s">
        <v>123</v>
      </c>
      <c r="R13" s="14" t="s">
        <v>124</v>
      </c>
      <c r="S13" s="14" t="s">
        <v>157</v>
      </c>
    </row>
    <row r="14" customFormat="false" ht="15" hidden="false" customHeight="false" outlineLevel="0" collapsed="false">
      <c r="A14" s="22" t="n">
        <v>10</v>
      </c>
      <c r="B14" s="22" t="s">
        <v>158</v>
      </c>
      <c r="C14" s="22" t="s">
        <v>159</v>
      </c>
      <c r="D14" s="22" t="s">
        <v>134</v>
      </c>
      <c r="E14" s="22" t="s">
        <v>129</v>
      </c>
      <c r="F14" s="20" t="s">
        <v>160</v>
      </c>
      <c r="G14" s="44" t="n">
        <v>240</v>
      </c>
      <c r="H14" s="44" t="n">
        <v>246</v>
      </c>
      <c r="I14" s="44" t="n">
        <v>228</v>
      </c>
      <c r="J14" s="44" t="n">
        <v>25</v>
      </c>
      <c r="K14" s="45" t="n">
        <v>3.5</v>
      </c>
      <c r="L14" s="45" t="n">
        <f aca="false">ABS(G14-H14)*J14</f>
        <v>150</v>
      </c>
      <c r="M14" s="46" t="n">
        <f aca="false">IF(E14="Long",(I14-G14)*J14-K14,(G14-I14)*J14-K14)</f>
        <v>296.5</v>
      </c>
      <c r="N14" s="47" t="n">
        <f aca="false">IF(L14&gt;0,M14/L14,0)</f>
        <v>1.97666666666667</v>
      </c>
      <c r="O14" s="46" t="n">
        <f aca="false">O13+M14</f>
        <v>1742.5</v>
      </c>
      <c r="P14" s="45" t="n">
        <f aca="false">P13+M14</f>
        <v>26742.5</v>
      </c>
      <c r="Q14" s="22" t="s">
        <v>123</v>
      </c>
      <c r="R14" s="20" t="s">
        <v>124</v>
      </c>
      <c r="S14" s="20" t="s">
        <v>161</v>
      </c>
    </row>
    <row r="15" customFormat="false" ht="15" hidden="false" customHeight="false" outlineLevel="0" collapsed="false">
      <c r="A15" s="16" t="n">
        <v>11</v>
      </c>
      <c r="B15" s="16" t="s">
        <v>162</v>
      </c>
      <c r="C15" s="16" t="s">
        <v>119</v>
      </c>
      <c r="D15" s="16" t="s">
        <v>120</v>
      </c>
      <c r="E15" s="16" t="s">
        <v>121</v>
      </c>
      <c r="F15" s="14" t="s">
        <v>135</v>
      </c>
      <c r="G15" s="40" t="n">
        <v>20150</v>
      </c>
      <c r="H15" s="40" t="n">
        <v>20100</v>
      </c>
      <c r="I15" s="40" t="n">
        <v>20280</v>
      </c>
      <c r="J15" s="40" t="n">
        <v>2</v>
      </c>
      <c r="K15" s="41" t="n">
        <v>5</v>
      </c>
      <c r="L15" s="41" t="n">
        <f aca="false">ABS(G15-H15)*J15</f>
        <v>100</v>
      </c>
      <c r="M15" s="42" t="n">
        <f aca="false">IF(E15="Long",(I15-G15)*J15-K15,(G15-I15)*J15-K15)</f>
        <v>255</v>
      </c>
      <c r="N15" s="43" t="n">
        <f aca="false">IF(L15&gt;0,M15/L15,0)</f>
        <v>2.55</v>
      </c>
      <c r="O15" s="42" t="n">
        <f aca="false">O14+M15</f>
        <v>1997.5</v>
      </c>
      <c r="P15" s="41" t="n">
        <f aca="false">P14+M15</f>
        <v>26997.5</v>
      </c>
      <c r="Q15" s="16" t="s">
        <v>123</v>
      </c>
      <c r="R15" s="14" t="s">
        <v>124</v>
      </c>
      <c r="S15" s="14" t="s">
        <v>163</v>
      </c>
    </row>
    <row r="16" customFormat="false" ht="15" hidden="false" customHeight="false" outlineLevel="0" collapsed="false">
      <c r="A16" s="22" t="n">
        <v>12</v>
      </c>
      <c r="B16" s="22" t="s">
        <v>164</v>
      </c>
      <c r="C16" s="22" t="s">
        <v>127</v>
      </c>
      <c r="D16" s="22" t="s">
        <v>128</v>
      </c>
      <c r="E16" s="22" t="s">
        <v>121</v>
      </c>
      <c r="F16" s="20" t="s">
        <v>138</v>
      </c>
      <c r="G16" s="44" t="n">
        <v>1.081</v>
      </c>
      <c r="H16" s="44" t="n">
        <v>1.078</v>
      </c>
      <c r="I16" s="44" t="n">
        <v>1.087</v>
      </c>
      <c r="J16" s="44" t="n">
        <v>50000</v>
      </c>
      <c r="K16" s="45" t="n">
        <v>4</v>
      </c>
      <c r="L16" s="45" t="n">
        <f aca="false">ABS(G16-H16)*J16</f>
        <v>149.999999999995</v>
      </c>
      <c r="M16" s="46" t="n">
        <f aca="false">IF(E16="Long",(I16-G16)*J16-K16,(G16-I16)*J16-K16)</f>
        <v>296</v>
      </c>
      <c r="N16" s="47" t="n">
        <f aca="false">IF(L16&gt;0,M16/L16,0)</f>
        <v>1.97333333333341</v>
      </c>
      <c r="O16" s="46" t="n">
        <f aca="false">O15+M16</f>
        <v>2293.5</v>
      </c>
      <c r="P16" s="45" t="n">
        <f aca="false">P15+M16</f>
        <v>27293.5</v>
      </c>
      <c r="Q16" s="22" t="s">
        <v>123</v>
      </c>
      <c r="R16" s="20" t="s">
        <v>124</v>
      </c>
      <c r="S16" s="20" t="s">
        <v>165</v>
      </c>
    </row>
    <row r="17" customFormat="false" ht="15" hidden="false" customHeight="false" outlineLevel="0" collapsed="false">
      <c r="A17" s="16" t="n">
        <v>13</v>
      </c>
      <c r="B17" s="16" t="s">
        <v>166</v>
      </c>
      <c r="C17" s="16" t="s">
        <v>133</v>
      </c>
      <c r="D17" s="16" t="s">
        <v>134</v>
      </c>
      <c r="E17" s="16" t="s">
        <v>121</v>
      </c>
      <c r="F17" s="14" t="s">
        <v>167</v>
      </c>
      <c r="G17" s="40" t="n">
        <v>228</v>
      </c>
      <c r="H17" s="40" t="n">
        <v>224</v>
      </c>
      <c r="I17" s="40" t="n">
        <v>223.5</v>
      </c>
      <c r="J17" s="40" t="n">
        <v>40</v>
      </c>
      <c r="K17" s="41" t="n">
        <v>3</v>
      </c>
      <c r="L17" s="41" t="n">
        <f aca="false">ABS(G17-H17)*J17</f>
        <v>160</v>
      </c>
      <c r="M17" s="42" t="n">
        <f aca="false">IF(E17="Long",(I17-G17)*J17-K17,(G17-I17)*J17-K17)</f>
        <v>-183</v>
      </c>
      <c r="N17" s="43" t="n">
        <f aca="false">IF(L17&gt;0,M17/L17,0)</f>
        <v>-1.14375</v>
      </c>
      <c r="O17" s="42" t="n">
        <f aca="false">O16+M17</f>
        <v>2110.5</v>
      </c>
      <c r="P17" s="41" t="n">
        <f aca="false">P16+M17</f>
        <v>27110.5</v>
      </c>
      <c r="Q17" s="16" t="s">
        <v>152</v>
      </c>
      <c r="R17" s="14" t="s">
        <v>168</v>
      </c>
      <c r="S17" s="14" t="s">
        <v>169</v>
      </c>
    </row>
    <row r="18" customFormat="false" ht="15" hidden="false" customHeight="false" outlineLevel="0" collapsed="false">
      <c r="A18" s="22" t="n">
        <v>14</v>
      </c>
      <c r="B18" s="22" t="s">
        <v>170</v>
      </c>
      <c r="C18" s="22" t="s">
        <v>119</v>
      </c>
      <c r="D18" s="22" t="s">
        <v>120</v>
      </c>
      <c r="E18" s="22" t="s">
        <v>129</v>
      </c>
      <c r="F18" s="20" t="s">
        <v>122</v>
      </c>
      <c r="G18" s="44" t="n">
        <v>20200</v>
      </c>
      <c r="H18" s="44" t="n">
        <v>20250</v>
      </c>
      <c r="I18" s="44" t="n">
        <v>20080</v>
      </c>
      <c r="J18" s="44" t="n">
        <v>2</v>
      </c>
      <c r="K18" s="45" t="n">
        <v>5</v>
      </c>
      <c r="L18" s="45" t="n">
        <f aca="false">ABS(G18-H18)*J18</f>
        <v>100</v>
      </c>
      <c r="M18" s="46" t="n">
        <f aca="false">IF(E18="Long",(I18-G18)*J18-K18,(G18-I18)*J18-K18)</f>
        <v>235</v>
      </c>
      <c r="N18" s="47" t="n">
        <f aca="false">IF(L18&gt;0,M18/L18,0)</f>
        <v>2.35</v>
      </c>
      <c r="O18" s="46" t="n">
        <f aca="false">O17+M18</f>
        <v>2345.5</v>
      </c>
      <c r="P18" s="45" t="n">
        <f aca="false">P17+M18</f>
        <v>27345.5</v>
      </c>
      <c r="Q18" s="22" t="s">
        <v>123</v>
      </c>
      <c r="R18" s="20" t="s">
        <v>124</v>
      </c>
      <c r="S18" s="20" t="s">
        <v>171</v>
      </c>
    </row>
    <row r="19" customFormat="false" ht="15" hidden="false" customHeight="false" outlineLevel="0" collapsed="false">
      <c r="A19" s="16" t="n">
        <v>15</v>
      </c>
      <c r="B19" s="16" t="s">
        <v>172</v>
      </c>
      <c r="C19" s="16" t="s">
        <v>173</v>
      </c>
      <c r="D19" s="16" t="s">
        <v>120</v>
      </c>
      <c r="E19" s="16" t="s">
        <v>121</v>
      </c>
      <c r="F19" s="14" t="s">
        <v>130</v>
      </c>
      <c r="G19" s="40" t="n">
        <v>5900</v>
      </c>
      <c r="H19" s="40" t="n">
        <v>5870</v>
      </c>
      <c r="I19" s="40" t="n">
        <v>5975</v>
      </c>
      <c r="J19" s="40" t="n">
        <v>2</v>
      </c>
      <c r="K19" s="41" t="n">
        <v>6</v>
      </c>
      <c r="L19" s="41" t="n">
        <f aca="false">ABS(G19-H19)*J19</f>
        <v>60</v>
      </c>
      <c r="M19" s="42" t="n">
        <f aca="false">IF(E19="Long",(I19-G19)*J19-K19,(G19-I19)*J19-K19)</f>
        <v>144</v>
      </c>
      <c r="N19" s="43" t="n">
        <f aca="false">IF(L19&gt;0,M19/L19,0)</f>
        <v>2.4</v>
      </c>
      <c r="O19" s="42" t="n">
        <f aca="false">O18+M19</f>
        <v>2489.5</v>
      </c>
      <c r="P19" s="41" t="n">
        <f aca="false">P18+M19</f>
        <v>27489.5</v>
      </c>
      <c r="Q19" s="16" t="s">
        <v>123</v>
      </c>
      <c r="R19" s="14" t="s">
        <v>124</v>
      </c>
      <c r="S19" s="14" t="s">
        <v>174</v>
      </c>
    </row>
    <row r="20" customFormat="false" ht="15" hidden="false" customHeight="false" outlineLevel="0" collapsed="false">
      <c r="A20" s="22" t="n">
        <v>16</v>
      </c>
      <c r="B20" s="22" t="s">
        <v>175</v>
      </c>
      <c r="C20" s="22" t="s">
        <v>145</v>
      </c>
      <c r="D20" s="22" t="s">
        <v>146</v>
      </c>
      <c r="E20" s="22" t="s">
        <v>129</v>
      </c>
      <c r="F20" s="20" t="s">
        <v>160</v>
      </c>
      <c r="G20" s="44" t="n">
        <v>2680</v>
      </c>
      <c r="H20" s="44" t="n">
        <v>2695</v>
      </c>
      <c r="I20" s="44" t="n">
        <v>2650</v>
      </c>
      <c r="J20" s="44" t="n">
        <v>10</v>
      </c>
      <c r="K20" s="45" t="n">
        <v>6</v>
      </c>
      <c r="L20" s="45" t="n">
        <f aca="false">ABS(G20-H20)*J20</f>
        <v>150</v>
      </c>
      <c r="M20" s="46" t="n">
        <f aca="false">IF(E20="Long",(I20-G20)*J20-K20,(G20-I20)*J20-K20)</f>
        <v>294</v>
      </c>
      <c r="N20" s="47" t="n">
        <f aca="false">IF(L20&gt;0,M20/L20,0)</f>
        <v>1.96</v>
      </c>
      <c r="O20" s="46" t="n">
        <f aca="false">O19+M20</f>
        <v>2783.5</v>
      </c>
      <c r="P20" s="45" t="n">
        <f aca="false">P19+M20</f>
        <v>27783.5</v>
      </c>
      <c r="Q20" s="22" t="s">
        <v>123</v>
      </c>
      <c r="R20" s="20" t="s">
        <v>124</v>
      </c>
      <c r="S20" s="20" t="s">
        <v>176</v>
      </c>
    </row>
    <row r="21" customFormat="false" ht="15" hidden="false" customHeight="false" outlineLevel="0" collapsed="false">
      <c r="A21" s="16" t="n">
        <v>17</v>
      </c>
      <c r="B21" s="16" t="s">
        <v>177</v>
      </c>
      <c r="C21" s="16" t="s">
        <v>178</v>
      </c>
      <c r="D21" s="16" t="s">
        <v>128</v>
      </c>
      <c r="E21" s="16" t="s">
        <v>121</v>
      </c>
      <c r="F21" s="14" t="s">
        <v>130</v>
      </c>
      <c r="G21" s="40" t="n">
        <v>152</v>
      </c>
      <c r="H21" s="40" t="n">
        <v>151.2</v>
      </c>
      <c r="I21" s="40" t="n">
        <v>151.1</v>
      </c>
      <c r="J21" s="40" t="n">
        <v>20000</v>
      </c>
      <c r="K21" s="41" t="n">
        <v>4</v>
      </c>
      <c r="L21" s="41" t="n">
        <f aca="false">ABS(G21-H21)*J21</f>
        <v>16000.0000000002</v>
      </c>
      <c r="M21" s="42" t="n">
        <f aca="false">IF(E21="Long",(I21-G21)*J21-K21,(G21-I21)*J21-K21)</f>
        <v>-18004.0000000001</v>
      </c>
      <c r="N21" s="43" t="n">
        <f aca="false">IF(L21&gt;0,M21/L21,0)</f>
        <v>-1.12524999999999</v>
      </c>
      <c r="O21" s="42" t="n">
        <f aca="false">O20+M21</f>
        <v>-15220.5000000001</v>
      </c>
      <c r="P21" s="41" t="n">
        <f aca="false">P20+M21</f>
        <v>9779.49999999989</v>
      </c>
      <c r="Q21" s="16" t="s">
        <v>123</v>
      </c>
      <c r="R21" s="14" t="s">
        <v>124</v>
      </c>
      <c r="S21" s="14" t="s">
        <v>179</v>
      </c>
    </row>
    <row r="22" customFormat="false" ht="15" hidden="false" customHeight="false" outlineLevel="0" collapsed="false">
      <c r="A22" s="22" t="n">
        <v>18</v>
      </c>
      <c r="B22" s="22" t="s">
        <v>180</v>
      </c>
      <c r="C22" s="22" t="s">
        <v>149</v>
      </c>
      <c r="D22" s="22" t="s">
        <v>134</v>
      </c>
      <c r="E22" s="22" t="s">
        <v>121</v>
      </c>
      <c r="F22" s="20" t="s">
        <v>122</v>
      </c>
      <c r="G22" s="44" t="n">
        <v>142</v>
      </c>
      <c r="H22" s="44" t="n">
        <v>138</v>
      </c>
      <c r="I22" s="44" t="n">
        <v>145</v>
      </c>
      <c r="J22" s="44" t="n">
        <v>35</v>
      </c>
      <c r="K22" s="45" t="n">
        <v>4</v>
      </c>
      <c r="L22" s="45" t="n">
        <f aca="false">ABS(G22-H22)*J22</f>
        <v>140</v>
      </c>
      <c r="M22" s="46" t="n">
        <f aca="false">IF(E22="Long",(I22-G22)*J22-K22,(G22-I22)*J22-K22)</f>
        <v>101</v>
      </c>
      <c r="N22" s="47" t="n">
        <f aca="false">IF(L22&gt;0,M22/L22,0)</f>
        <v>0.721428571428571</v>
      </c>
      <c r="O22" s="46" t="n">
        <f aca="false">O21+M22</f>
        <v>-15119.5000000001</v>
      </c>
      <c r="P22" s="45" t="n">
        <f aca="false">P21+M22</f>
        <v>9880.49999999989</v>
      </c>
      <c r="Q22" s="22" t="s">
        <v>152</v>
      </c>
      <c r="R22" s="20" t="s">
        <v>181</v>
      </c>
      <c r="S22" s="20" t="s">
        <v>182</v>
      </c>
    </row>
    <row r="23" customFormat="false" ht="15" hidden="false" customHeight="false" outlineLevel="0" collapsed="false">
      <c r="A23" s="16" t="n">
        <v>19</v>
      </c>
      <c r="B23" s="16" t="s">
        <v>183</v>
      </c>
      <c r="C23" s="16" t="s">
        <v>119</v>
      </c>
      <c r="D23" s="16" t="s">
        <v>120</v>
      </c>
      <c r="E23" s="16" t="s">
        <v>121</v>
      </c>
      <c r="F23" s="14" t="s">
        <v>130</v>
      </c>
      <c r="G23" s="40" t="n">
        <v>20120</v>
      </c>
      <c r="H23" s="40" t="n">
        <v>20070</v>
      </c>
      <c r="I23" s="40" t="n">
        <v>20260</v>
      </c>
      <c r="J23" s="40" t="n">
        <v>2</v>
      </c>
      <c r="K23" s="41" t="n">
        <v>5</v>
      </c>
      <c r="L23" s="41" t="n">
        <f aca="false">ABS(G23-H23)*J23</f>
        <v>100</v>
      </c>
      <c r="M23" s="42" t="n">
        <f aca="false">IF(E23="Long",(I23-G23)*J23-K23,(G23-I23)*J23-K23)</f>
        <v>275</v>
      </c>
      <c r="N23" s="43" t="n">
        <f aca="false">IF(L23&gt;0,M23/L23,0)</f>
        <v>2.75</v>
      </c>
      <c r="O23" s="42" t="n">
        <f aca="false">O22+M23</f>
        <v>-14844.5000000001</v>
      </c>
      <c r="P23" s="41" t="n">
        <f aca="false">P22+M23</f>
        <v>10155.4999999999</v>
      </c>
      <c r="Q23" s="16" t="s">
        <v>123</v>
      </c>
      <c r="R23" s="14" t="s">
        <v>124</v>
      </c>
      <c r="S23" s="14" t="s">
        <v>184</v>
      </c>
    </row>
    <row r="24" customFormat="false" ht="15" hidden="false" customHeight="false" outlineLevel="0" collapsed="false">
      <c r="A24" s="22" t="n">
        <v>20</v>
      </c>
      <c r="B24" s="22" t="s">
        <v>185</v>
      </c>
      <c r="C24" s="22" t="s">
        <v>186</v>
      </c>
      <c r="D24" s="22" t="s">
        <v>120</v>
      </c>
      <c r="E24" s="22" t="s">
        <v>129</v>
      </c>
      <c r="F24" s="20" t="s">
        <v>135</v>
      </c>
      <c r="G24" s="44" t="n">
        <v>20800</v>
      </c>
      <c r="H24" s="44" t="n">
        <v>20900</v>
      </c>
      <c r="I24" s="44" t="n">
        <v>20550</v>
      </c>
      <c r="J24" s="44" t="n">
        <v>1</v>
      </c>
      <c r="K24" s="45" t="n">
        <v>5</v>
      </c>
      <c r="L24" s="45" t="n">
        <f aca="false">ABS(G24-H24)*J24</f>
        <v>100</v>
      </c>
      <c r="M24" s="46" t="n">
        <f aca="false">IF(E24="Long",(I24-G24)*J24-K24,(G24-I24)*J24-K24)</f>
        <v>245</v>
      </c>
      <c r="N24" s="47" t="n">
        <f aca="false">IF(L24&gt;0,M24/L24,0)</f>
        <v>2.45</v>
      </c>
      <c r="O24" s="46" t="n">
        <f aca="false">O23+M24</f>
        <v>-14599.5000000001</v>
      </c>
      <c r="P24" s="45" t="n">
        <f aca="false">P23+M24</f>
        <v>10400.4999999999</v>
      </c>
      <c r="Q24" s="22" t="s">
        <v>123</v>
      </c>
      <c r="R24" s="20" t="s">
        <v>124</v>
      </c>
      <c r="S24" s="20" t="s">
        <v>187</v>
      </c>
    </row>
    <row r="25" customFormat="false" ht="15" hidden="false" customHeight="false" outlineLevel="0" collapsed="false">
      <c r="A25" s="16" t="n">
        <v>21</v>
      </c>
      <c r="B25" s="16" t="s">
        <v>188</v>
      </c>
      <c r="C25" s="16" t="s">
        <v>127</v>
      </c>
      <c r="D25" s="16" t="s">
        <v>128</v>
      </c>
      <c r="E25" s="16" t="s">
        <v>129</v>
      </c>
      <c r="F25" s="14" t="s">
        <v>122</v>
      </c>
      <c r="G25" s="40" t="n">
        <v>1.084</v>
      </c>
      <c r="H25" s="40" t="n">
        <v>1.087</v>
      </c>
      <c r="I25" s="40" t="n">
        <v>1.088</v>
      </c>
      <c r="J25" s="40" t="n">
        <v>50000</v>
      </c>
      <c r="K25" s="41" t="n">
        <v>4</v>
      </c>
      <c r="L25" s="41" t="n">
        <f aca="false">ABS(G25-H25)*J25</f>
        <v>149.999999999995</v>
      </c>
      <c r="M25" s="42" t="n">
        <f aca="false">IF(E25="Long",(I25-G25)*J25-K25,(G25-I25)*J25-K25)</f>
        <v>-204</v>
      </c>
      <c r="N25" s="43" t="n">
        <f aca="false">IF(L25&gt;0,M25/L25,0)</f>
        <v>-1.36000000000005</v>
      </c>
      <c r="O25" s="42" t="n">
        <f aca="false">O24+M25</f>
        <v>-14803.5000000001</v>
      </c>
      <c r="P25" s="41" t="n">
        <f aca="false">P24+M25</f>
        <v>10196.4999999999</v>
      </c>
      <c r="Q25" s="16" t="s">
        <v>152</v>
      </c>
      <c r="R25" s="14" t="s">
        <v>189</v>
      </c>
      <c r="S25" s="14" t="s">
        <v>190</v>
      </c>
    </row>
    <row r="26" customFormat="false" ht="15" hidden="false" customHeight="false" outlineLevel="0" collapsed="false">
      <c r="A26" s="22" t="n">
        <v>22</v>
      </c>
      <c r="B26" s="22" t="s">
        <v>191</v>
      </c>
      <c r="C26" s="22" t="s">
        <v>141</v>
      </c>
      <c r="D26" s="22" t="s">
        <v>142</v>
      </c>
      <c r="E26" s="22" t="s">
        <v>121</v>
      </c>
      <c r="F26" s="20" t="s">
        <v>130</v>
      </c>
      <c r="G26" s="44" t="n">
        <v>97000</v>
      </c>
      <c r="H26" s="44" t="n">
        <v>95000</v>
      </c>
      <c r="I26" s="44" t="n">
        <v>101500</v>
      </c>
      <c r="J26" s="44" t="n">
        <v>0.1</v>
      </c>
      <c r="K26" s="45" t="n">
        <v>8</v>
      </c>
      <c r="L26" s="45" t="n">
        <f aca="false">ABS(G26-H26)*J26</f>
        <v>200</v>
      </c>
      <c r="M26" s="46" t="n">
        <f aca="false">IF(E26="Long",(I26-G26)*J26-K26,(G26-I26)*J26-K26)</f>
        <v>442</v>
      </c>
      <c r="N26" s="47" t="n">
        <f aca="false">IF(L26&gt;0,M26/L26,0)</f>
        <v>2.21</v>
      </c>
      <c r="O26" s="46" t="n">
        <f aca="false">O25+M26</f>
        <v>-14361.5000000001</v>
      </c>
      <c r="P26" s="45" t="n">
        <f aca="false">P25+M26</f>
        <v>10638.4999999999</v>
      </c>
      <c r="Q26" s="22" t="s">
        <v>123</v>
      </c>
      <c r="R26" s="20" t="s">
        <v>124</v>
      </c>
      <c r="S26" s="20" t="s">
        <v>192</v>
      </c>
    </row>
    <row r="27" customFormat="false" ht="15" hidden="false" customHeight="false" outlineLevel="0" collapsed="false">
      <c r="A27" s="16" t="n">
        <v>23</v>
      </c>
      <c r="B27" s="16" t="s">
        <v>193</v>
      </c>
      <c r="C27" s="16" t="s">
        <v>133</v>
      </c>
      <c r="D27" s="16" t="s">
        <v>134</v>
      </c>
      <c r="E27" s="16" t="s">
        <v>129</v>
      </c>
      <c r="F27" s="14" t="s">
        <v>138</v>
      </c>
      <c r="G27" s="40" t="n">
        <v>232</v>
      </c>
      <c r="H27" s="40" t="n">
        <v>235</v>
      </c>
      <c r="I27" s="40" t="n">
        <v>224.5</v>
      </c>
      <c r="J27" s="40" t="n">
        <v>45</v>
      </c>
      <c r="K27" s="41" t="n">
        <v>3.5</v>
      </c>
      <c r="L27" s="41" t="n">
        <f aca="false">ABS(G27-H27)*J27</f>
        <v>135</v>
      </c>
      <c r="M27" s="42" t="n">
        <f aca="false">IF(E27="Long",(I27-G27)*J27-K27,(G27-I27)*J27-K27)</f>
        <v>334</v>
      </c>
      <c r="N27" s="43" t="n">
        <f aca="false">IF(L27&gt;0,M27/L27,0)</f>
        <v>2.47407407407407</v>
      </c>
      <c r="O27" s="42" t="n">
        <f aca="false">O26+M27</f>
        <v>-14027.5000000001</v>
      </c>
      <c r="P27" s="41" t="n">
        <f aca="false">P26+M27</f>
        <v>10972.4999999999</v>
      </c>
      <c r="Q27" s="16" t="s">
        <v>123</v>
      </c>
      <c r="R27" s="14" t="s">
        <v>124</v>
      </c>
      <c r="S27" s="14" t="s">
        <v>194</v>
      </c>
    </row>
    <row r="28" customFormat="false" ht="15" hidden="false" customHeight="false" outlineLevel="0" collapsed="false">
      <c r="A28" s="22" t="n">
        <v>24</v>
      </c>
      <c r="B28" s="22" t="s">
        <v>195</v>
      </c>
      <c r="C28" s="22" t="s">
        <v>119</v>
      </c>
      <c r="D28" s="22" t="s">
        <v>120</v>
      </c>
      <c r="E28" s="22" t="s">
        <v>129</v>
      </c>
      <c r="F28" s="20" t="s">
        <v>167</v>
      </c>
      <c r="G28" s="44" t="n">
        <v>20300</v>
      </c>
      <c r="H28" s="44" t="n">
        <v>20360</v>
      </c>
      <c r="I28" s="44" t="n">
        <v>20150</v>
      </c>
      <c r="J28" s="44" t="n">
        <v>2</v>
      </c>
      <c r="K28" s="45" t="n">
        <v>5</v>
      </c>
      <c r="L28" s="45" t="n">
        <f aca="false">ABS(G28-H28)*J28</f>
        <v>120</v>
      </c>
      <c r="M28" s="46" t="n">
        <f aca="false">IF(E28="Long",(I28-G28)*J28-K28,(G28-I28)*J28-K28)</f>
        <v>295</v>
      </c>
      <c r="N28" s="47" t="n">
        <f aca="false">IF(L28&gt;0,M28/L28,0)</f>
        <v>2.45833333333333</v>
      </c>
      <c r="O28" s="46" t="n">
        <f aca="false">O27+M28</f>
        <v>-13732.5000000001</v>
      </c>
      <c r="P28" s="45" t="n">
        <f aca="false">P27+M28</f>
        <v>11267.4999999999</v>
      </c>
      <c r="Q28" s="22" t="s">
        <v>123</v>
      </c>
      <c r="R28" s="20" t="s">
        <v>124</v>
      </c>
      <c r="S28" s="20" t="s">
        <v>196</v>
      </c>
    </row>
    <row r="29" customFormat="false" ht="15" hidden="false" customHeight="false" outlineLevel="0" collapsed="false">
      <c r="A29" s="16" t="n">
        <v>25</v>
      </c>
      <c r="B29" s="16" t="s">
        <v>197</v>
      </c>
      <c r="C29" s="16" t="s">
        <v>145</v>
      </c>
      <c r="D29" s="16" t="s">
        <v>146</v>
      </c>
      <c r="E29" s="16" t="s">
        <v>121</v>
      </c>
      <c r="F29" s="14" t="s">
        <v>122</v>
      </c>
      <c r="G29" s="40" t="n">
        <v>2670</v>
      </c>
      <c r="H29" s="40" t="n">
        <v>2655</v>
      </c>
      <c r="I29" s="40" t="n">
        <v>2710</v>
      </c>
      <c r="J29" s="40" t="n">
        <v>10</v>
      </c>
      <c r="K29" s="41" t="n">
        <v>6</v>
      </c>
      <c r="L29" s="41" t="n">
        <f aca="false">ABS(G29-H29)*J29</f>
        <v>150</v>
      </c>
      <c r="M29" s="42" t="n">
        <f aca="false">IF(E29="Long",(I29-G29)*J29-K29,(G29-I29)*J29-K29)</f>
        <v>394</v>
      </c>
      <c r="N29" s="43" t="n">
        <f aca="false">IF(L29&gt;0,M29/L29,0)</f>
        <v>2.62666666666667</v>
      </c>
      <c r="O29" s="42" t="n">
        <f aca="false">O28+M29</f>
        <v>-13338.5000000001</v>
      </c>
      <c r="P29" s="41" t="n">
        <f aca="false">P28+M29</f>
        <v>11661.4999999999</v>
      </c>
      <c r="Q29" s="16" t="s">
        <v>123</v>
      </c>
      <c r="R29" s="14" t="s">
        <v>124</v>
      </c>
      <c r="S29" s="14" t="s">
        <v>198</v>
      </c>
    </row>
    <row r="30" customFormat="false" ht="15" hidden="false" customHeight="false" outlineLevel="0" collapsed="false">
      <c r="A30" s="48" t="s">
        <v>199</v>
      </c>
      <c r="B30" s="49"/>
      <c r="C30" s="49"/>
      <c r="D30" s="49"/>
      <c r="E30" s="49"/>
      <c r="F30" s="49"/>
      <c r="G30" s="49"/>
      <c r="H30" s="49"/>
      <c r="I30" s="49"/>
      <c r="J30" s="49"/>
      <c r="K30" s="50" t="n">
        <f aca="false">SUM(K5:K29)</f>
        <v>121</v>
      </c>
      <c r="L30" s="50" t="n">
        <f aca="false">SUM(L5:L29)</f>
        <v>19185.0000000002</v>
      </c>
      <c r="M30" s="51" t="n">
        <f aca="false">SUM(M5:M29)</f>
        <v>-13338.5000000001</v>
      </c>
      <c r="N30" s="52" t="n">
        <f aca="false">AVERAGE(N5:N29)</f>
        <v>1.4252601058201</v>
      </c>
      <c r="O30" s="51" t="n">
        <f aca="false">O29</f>
        <v>-13338.5000000001</v>
      </c>
      <c r="P30" s="50" t="n">
        <f aca="false">P29</f>
        <v>11661.4999999999</v>
      </c>
      <c r="Q30" s="49"/>
      <c r="R30" s="49"/>
      <c r="S30" s="49"/>
    </row>
  </sheetData>
  <dataValidations count="6">
    <dataValidation allowBlank="true" errorStyle="stop" operator="between" showDropDown="false" showErrorMessage="false" showInputMessage="false" sqref="C5:C100" type="list">
      <formula1>Listen!$C$5:$C$16</formula1>
      <formula2>0</formula2>
    </dataValidation>
    <dataValidation allowBlank="true" errorStyle="stop" operator="between" showDropDown="false" showErrorMessage="false" showInputMessage="false" sqref="D5:D100" type="list">
      <formula1>Listen!$K$5:$K$9</formula1>
      <formula2>0</formula2>
    </dataValidation>
    <dataValidation allowBlank="true" errorStyle="stop" operator="between" showDropDown="false" showErrorMessage="false" showInputMessage="false" sqref="E5:E100" type="list">
      <formula1>Listen!$E$5:$E$6</formula1>
      <formula2>0</formula2>
    </dataValidation>
    <dataValidation allowBlank="true" errorStyle="stop" operator="between" showDropDown="false" showErrorMessage="false" showInputMessage="false" sqref="F5:F100" type="list">
      <formula1>Listen!$A$5:$A$10</formula1>
      <formula2>0</formula2>
    </dataValidation>
    <dataValidation allowBlank="true" errorStyle="stop" operator="between" showDropDown="false" showErrorMessage="false" showInputMessage="false" sqref="Q5:Q100" type="list">
      <formula1>Listen!$G$5:$G$6</formula1>
      <formula2>0</formula2>
    </dataValidation>
    <dataValidation allowBlank="true" errorStyle="stop" operator="between" showDropDown="false" showErrorMessage="false" showInputMessage="false" sqref="R5:R100" type="list">
      <formula1>Listen!$I$5:$I$12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9" min="7" style="0" width="16"/>
    <col collapsed="false" customWidth="true" hidden="false" outlineLevel="0" max="10" min="10" style="0" width="20"/>
  </cols>
  <sheetData>
    <row r="1" customFormat="false" ht="24" hidden="false" customHeight="true" outlineLevel="0" collapsed="false">
      <c r="A1" s="1" t="s">
        <v>200</v>
      </c>
    </row>
    <row r="2" customFormat="false" ht="18" hidden="false" customHeight="true" outlineLevel="0" collapsed="false">
      <c r="A2" s="2" t="s">
        <v>201</v>
      </c>
    </row>
    <row r="4" customFormat="false" ht="15" hidden="false" customHeight="false" outlineLevel="0" collapsed="false">
      <c r="A4" s="11" t="s">
        <v>202</v>
      </c>
    </row>
    <row r="5" customFormat="false" ht="15" hidden="false" customHeight="false" outlineLevel="0" collapsed="false">
      <c r="A5" s="12" t="s">
        <v>104</v>
      </c>
      <c r="B5" s="12" t="s">
        <v>203</v>
      </c>
      <c r="C5" s="12" t="s">
        <v>204</v>
      </c>
      <c r="D5" s="12" t="s">
        <v>205</v>
      </c>
      <c r="E5" s="12" t="s">
        <v>206</v>
      </c>
      <c r="F5" s="12" t="s">
        <v>207</v>
      </c>
      <c r="G5" s="12" t="s">
        <v>208</v>
      </c>
      <c r="H5" s="12" t="s">
        <v>209</v>
      </c>
      <c r="I5" s="12" t="s">
        <v>210</v>
      </c>
      <c r="J5" s="12" t="s">
        <v>211</v>
      </c>
    </row>
    <row r="6" customFormat="false" ht="15" hidden="false" customHeight="false" outlineLevel="0" collapsed="false">
      <c r="A6" s="14" t="s">
        <v>122</v>
      </c>
      <c r="B6" s="53" t="n">
        <f aca="false">COUNTIF(Trades!$F$5:$F$29, A6)</f>
        <v>7</v>
      </c>
      <c r="C6" s="53" t="n">
        <f aca="false">COUNTIFS(Trades!$F$5:$F$29, A6, Trades!$M$5:$M$29, "&gt;0")</f>
        <v>5</v>
      </c>
      <c r="D6" s="53" t="n">
        <f aca="false">COUNTIFS(Trades!$F$5:$F$29, A6, Trades!$M$5:$M$29, "&lt;0")</f>
        <v>2</v>
      </c>
      <c r="E6" s="54" t="n">
        <f aca="false">IF(B6&gt;0, C6/B6, 0)</f>
        <v>0.714285714285714</v>
      </c>
      <c r="F6" s="42" t="n">
        <f aca="false">SUMIF(Trades!$F$5:$F$29, A6, Trades!$M$5:$M$29)</f>
        <v>1078</v>
      </c>
      <c r="G6" s="42" t="n">
        <f aca="false">IF(B6&gt;0, F6/B6, 0)</f>
        <v>154</v>
      </c>
      <c r="H6" s="43" t="n">
        <f aca="false">IF(B6&gt;0, AVERAGEIF(Trades!$F$5:$F$29, A6, Trades!$N$5:$N$29), 0)</f>
        <v>1.19782312925169</v>
      </c>
      <c r="I6" s="55" t="n">
        <f aca="false">IF(ABS(SUMIFS(Trades!$M$5:$M$29, Trades!$F$5:$F$29, A6, Trades!$M$5:$M$29, "&lt;0"))&gt;0, SUMIFS(Trades!$M$5:$M$29, Trades!$F$5:$F$29, A6, Trades!$M$5:$M$29, "&gt;0")/ABS(SUMIFS(Trades!$M$5:$M$29, Trades!$F$5:$F$29, A6, Trades!$M$5:$M$29, "&lt;0")), IF(C6&gt;0, 99.9, 0))</f>
        <v>4.27659574468085</v>
      </c>
      <c r="J6" s="42" t="n">
        <f aca="false">G6</f>
        <v>154</v>
      </c>
    </row>
    <row r="7" customFormat="false" ht="15" hidden="false" customHeight="false" outlineLevel="0" collapsed="false">
      <c r="A7" s="20" t="s">
        <v>135</v>
      </c>
      <c r="B7" s="56" t="n">
        <f aca="false">COUNTIF(Trades!$F$5:$F$29, A7)</f>
        <v>5</v>
      </c>
      <c r="C7" s="56" t="n">
        <f aca="false">COUNTIFS(Trades!$F$5:$F$29, A7, Trades!$M$5:$M$29, "&gt;0")</f>
        <v>3</v>
      </c>
      <c r="D7" s="56" t="n">
        <f aca="false">COUNTIFS(Trades!$F$5:$F$29, A7, Trades!$M$5:$M$29, "&lt;0")</f>
        <v>2</v>
      </c>
      <c r="E7" s="57" t="n">
        <f aca="false">IF(B7&gt;0, C7/B7, 0)</f>
        <v>0.6</v>
      </c>
      <c r="F7" s="46" t="n">
        <f aca="false">SUMIF(Trades!$F$5:$F$29, A7, Trades!$M$5:$M$29)</f>
        <v>507</v>
      </c>
      <c r="G7" s="46" t="n">
        <f aca="false">IF(B7&gt;0, F7/B7, 0)</f>
        <v>101.4</v>
      </c>
      <c r="H7" s="47" t="n">
        <f aca="false">IF(B7&gt;0, AVERAGEIF(Trades!$F$5:$F$29, A7, Trades!$N$5:$N$29), 0)</f>
        <v>0.983</v>
      </c>
      <c r="I7" s="58" t="n">
        <f aca="false">IF(ABS(SUMIFS(Trades!$M$5:$M$29, Trades!$F$5:$F$29, A7, Trades!$M$5:$M$29, "&lt;0"))&gt;0, SUMIFS(Trades!$M$5:$M$29, Trades!$F$5:$F$29, A7, Trades!$M$5:$M$29, "&gt;0")/ABS(SUMIFS(Trades!$M$5:$M$29, Trades!$F$5:$F$29, A7, Trades!$M$5:$M$29, "&lt;0")), IF(C7&gt;0, 99.9, 0))</f>
        <v>2.64077669902913</v>
      </c>
      <c r="J7" s="46" t="n">
        <f aca="false">G7</f>
        <v>101.4</v>
      </c>
    </row>
    <row r="8" customFormat="false" ht="15" hidden="false" customHeight="false" outlineLevel="0" collapsed="false">
      <c r="A8" s="14" t="s">
        <v>130</v>
      </c>
      <c r="B8" s="53" t="n">
        <f aca="false">COUNTIF(Trades!$F$5:$F$29, A8)</f>
        <v>6</v>
      </c>
      <c r="C8" s="53" t="n">
        <f aca="false">COUNTIFS(Trades!$F$5:$F$29, A8, Trades!$M$5:$M$29, "&gt;0")</f>
        <v>5</v>
      </c>
      <c r="D8" s="53" t="n">
        <f aca="false">COUNTIFS(Trades!$F$5:$F$29, A8, Trades!$M$5:$M$29, "&lt;0")</f>
        <v>1</v>
      </c>
      <c r="E8" s="54" t="n">
        <f aca="false">IF(B8&gt;0, C8/B8, 0)</f>
        <v>0.833333333333333</v>
      </c>
      <c r="F8" s="42" t="n">
        <f aca="false">SUMIF(Trades!$F$5:$F$29, A8, Trades!$M$5:$M$29)</f>
        <v>-16451.0000000001</v>
      </c>
      <c r="G8" s="42" t="n">
        <f aca="false">IF(B8&gt;0, F8/B8, 0)</f>
        <v>-2741.83333333335</v>
      </c>
      <c r="H8" s="43" t="n">
        <f aca="false">IF(B8&gt;0, AVERAGEIF(Trades!$F$5:$F$29, A8, Trades!$N$5:$N$29), 0)</f>
        <v>1.78051388888888</v>
      </c>
      <c r="I8" s="55" t="n">
        <f aca="false">IF(ABS(SUMIFS(Trades!$M$5:$M$29, Trades!$F$5:$F$29, A8, Trades!$M$5:$M$29, "&lt;0"))&gt;0, SUMIFS(Trades!$M$5:$M$29, Trades!$F$5:$F$29, A8, Trades!$M$5:$M$29, "&gt;0")/ABS(SUMIFS(Trades!$M$5:$M$29, Trades!$F$5:$F$29, A8, Trades!$M$5:$M$29, "&lt;0")), IF(C8&gt;0, 99.9, 0))</f>
        <v>0.0862586091979555</v>
      </c>
      <c r="J8" s="42" t="n">
        <f aca="false">G8</f>
        <v>-2741.83333333335</v>
      </c>
    </row>
    <row r="9" customFormat="false" ht="15" hidden="false" customHeight="false" outlineLevel="0" collapsed="false">
      <c r="A9" s="20" t="s">
        <v>138</v>
      </c>
      <c r="B9" s="56" t="n">
        <f aca="false">COUNTIF(Trades!$F$5:$F$29, A9)</f>
        <v>3</v>
      </c>
      <c r="C9" s="56" t="n">
        <f aca="false">COUNTIFS(Trades!$F$5:$F$29, A9, Trades!$M$5:$M$29, "&gt;0")</f>
        <v>3</v>
      </c>
      <c r="D9" s="56" t="n">
        <f aca="false">COUNTIFS(Trades!$F$5:$F$29, A9, Trades!$M$5:$M$29, "&lt;0")</f>
        <v>0</v>
      </c>
      <c r="E9" s="57" t="n">
        <f aca="false">IF(B9&gt;0, C9/B9, 0)</f>
        <v>1</v>
      </c>
      <c r="F9" s="46" t="n">
        <f aca="false">SUMIF(Trades!$F$5:$F$29, A9, Trades!$M$5:$M$29)</f>
        <v>825</v>
      </c>
      <c r="G9" s="46" t="n">
        <f aca="false">IF(B9&gt;0, F9/B9, 0)</f>
        <v>275</v>
      </c>
      <c r="H9" s="47" t="n">
        <f aca="false">IF(B9&gt;0, AVERAGEIF(Trades!$F$5:$F$29, A9, Trades!$N$5:$N$29), 0)</f>
        <v>2.13246913580249</v>
      </c>
      <c r="I9" s="58" t="n">
        <f aca="false">IF(ABS(SUMIFS(Trades!$M$5:$M$29, Trades!$F$5:$F$29, A9, Trades!$M$5:$M$29, "&lt;0"))&gt;0, SUMIFS(Trades!$M$5:$M$29, Trades!$F$5:$F$29, A9, Trades!$M$5:$M$29, "&gt;0")/ABS(SUMIFS(Trades!$M$5:$M$29, Trades!$F$5:$F$29, A9, Trades!$M$5:$M$29, "&lt;0")), IF(C9&gt;0, 99.9, 0))</f>
        <v>99.9</v>
      </c>
      <c r="J9" s="46" t="n">
        <f aca="false">G9</f>
        <v>275</v>
      </c>
    </row>
    <row r="10" customFormat="false" ht="15" hidden="false" customHeight="false" outlineLevel="0" collapsed="false">
      <c r="A10" s="14" t="s">
        <v>160</v>
      </c>
      <c r="B10" s="53" t="n">
        <f aca="false">COUNTIF(Trades!$F$5:$F$29, A10)</f>
        <v>2</v>
      </c>
      <c r="C10" s="53" t="n">
        <f aca="false">COUNTIFS(Trades!$F$5:$F$29, A10, Trades!$M$5:$M$29, "&gt;0")</f>
        <v>2</v>
      </c>
      <c r="D10" s="53" t="n">
        <f aca="false">COUNTIFS(Trades!$F$5:$F$29, A10, Trades!$M$5:$M$29, "&lt;0")</f>
        <v>0</v>
      </c>
      <c r="E10" s="54" t="n">
        <f aca="false">IF(B10&gt;0, C10/B10, 0)</f>
        <v>1</v>
      </c>
      <c r="F10" s="42" t="n">
        <f aca="false">SUMIF(Trades!$F$5:$F$29, A10, Trades!$M$5:$M$29)</f>
        <v>590.5</v>
      </c>
      <c r="G10" s="42" t="n">
        <f aca="false">IF(B10&gt;0, F10/B10, 0)</f>
        <v>295.25</v>
      </c>
      <c r="H10" s="43" t="n">
        <f aca="false">IF(B10&gt;0, AVERAGEIF(Trades!$F$5:$F$29, A10, Trades!$N$5:$N$29), 0)</f>
        <v>1.96833333333333</v>
      </c>
      <c r="I10" s="55" t="n">
        <f aca="false">IF(ABS(SUMIFS(Trades!$M$5:$M$29, Trades!$F$5:$F$29, A10, Trades!$M$5:$M$29, "&lt;0"))&gt;0, SUMIFS(Trades!$M$5:$M$29, Trades!$F$5:$F$29, A10, Trades!$M$5:$M$29, "&gt;0")/ABS(SUMIFS(Trades!$M$5:$M$29, Trades!$F$5:$F$29, A10, Trades!$M$5:$M$29, "&lt;0")), IF(C10&gt;0, 99.9, 0))</f>
        <v>99.9</v>
      </c>
      <c r="J10" s="42" t="n">
        <f aca="false">G10</f>
        <v>295.25</v>
      </c>
    </row>
    <row r="11" customFormat="false" ht="15" hidden="false" customHeight="false" outlineLevel="0" collapsed="false">
      <c r="A11" s="20" t="s">
        <v>167</v>
      </c>
      <c r="B11" s="56" t="n">
        <f aca="false">COUNTIF(Trades!$F$5:$F$29, A11)</f>
        <v>2</v>
      </c>
      <c r="C11" s="56" t="n">
        <f aca="false">COUNTIFS(Trades!$F$5:$F$29, A11, Trades!$M$5:$M$29, "&gt;0")</f>
        <v>1</v>
      </c>
      <c r="D11" s="56" t="n">
        <f aca="false">COUNTIFS(Trades!$F$5:$F$29, A11, Trades!$M$5:$M$29, "&lt;0")</f>
        <v>1</v>
      </c>
      <c r="E11" s="57" t="n">
        <f aca="false">IF(B11&gt;0, C11/B11, 0)</f>
        <v>0.5</v>
      </c>
      <c r="F11" s="46" t="n">
        <f aca="false">SUMIF(Trades!$F$5:$F$29, A11, Trades!$M$5:$M$29)</f>
        <v>112</v>
      </c>
      <c r="G11" s="46" t="n">
        <f aca="false">IF(B11&gt;0, F11/B11, 0)</f>
        <v>56</v>
      </c>
      <c r="H11" s="47" t="n">
        <f aca="false">IF(B11&gt;0, AVERAGEIF(Trades!$F$5:$F$29, A11, Trades!$N$5:$N$29), 0)</f>
        <v>0.657291666666667</v>
      </c>
      <c r="I11" s="58" t="n">
        <f aca="false">IF(ABS(SUMIFS(Trades!$M$5:$M$29, Trades!$F$5:$F$29, A11, Trades!$M$5:$M$29, "&lt;0"))&gt;0, SUMIFS(Trades!$M$5:$M$29, Trades!$F$5:$F$29, A11, Trades!$M$5:$M$29, "&gt;0")/ABS(SUMIFS(Trades!$M$5:$M$29, Trades!$F$5:$F$29, A11, Trades!$M$5:$M$29, "&lt;0")), IF(C11&gt;0, 99.9, 0))</f>
        <v>1.6120218579235</v>
      </c>
      <c r="J11" s="46" t="n">
        <f aca="false">G11</f>
        <v>56</v>
      </c>
    </row>
    <row r="12" customFormat="false" ht="15" hidden="false" customHeight="false" outlineLevel="0" collapsed="false">
      <c r="A12" s="48" t="s">
        <v>212</v>
      </c>
      <c r="B12" s="59" t="n">
        <f aca="false">SUM(B6:B11)</f>
        <v>25</v>
      </c>
      <c r="C12" s="59" t="n">
        <f aca="false">SUM(C6:C11)</f>
        <v>19</v>
      </c>
      <c r="D12" s="59" t="n">
        <f aca="false">SUM(D6:D11)</f>
        <v>6</v>
      </c>
      <c r="E12" s="60" t="n">
        <f aca="false">IF(B12&gt;0, C12/B12, 0)</f>
        <v>0.76</v>
      </c>
      <c r="F12" s="51" t="n">
        <f aca="false">SUM(F6:F11)</f>
        <v>-13338.5000000001</v>
      </c>
      <c r="G12" s="51" t="n">
        <f aca="false">IF(B12&gt;0, F12/B12, 0)</f>
        <v>-533.540000000005</v>
      </c>
      <c r="H12" s="52" t="n">
        <f aca="false">AVERAGE(H6:H11)</f>
        <v>1.45323852565718</v>
      </c>
      <c r="I12" s="61" t="n">
        <f aca="false">Dashboard!B21</f>
        <v>0.291447543160689</v>
      </c>
      <c r="J12" s="51" t="n">
        <f aca="false">G12</f>
        <v>-533.540000000005</v>
      </c>
    </row>
    <row r="15" customFormat="false" ht="15" hidden="false" customHeight="false" outlineLevel="0" collapsed="false">
      <c r="A15" s="11" t="s">
        <v>213</v>
      </c>
    </row>
    <row r="16" customFormat="false" ht="15" hidden="false" customHeight="false" outlineLevel="0" collapsed="false">
      <c r="A16" s="12" t="s">
        <v>115</v>
      </c>
      <c r="B16" s="12" t="s">
        <v>203</v>
      </c>
      <c r="C16" s="12" t="s">
        <v>204</v>
      </c>
      <c r="D16" s="12" t="s">
        <v>205</v>
      </c>
      <c r="E16" s="12" t="s">
        <v>206</v>
      </c>
      <c r="F16" s="12" t="s">
        <v>207</v>
      </c>
      <c r="G16" s="12" t="s">
        <v>208</v>
      </c>
      <c r="H16" s="12" t="s">
        <v>209</v>
      </c>
      <c r="I16" s="12" t="s">
        <v>210</v>
      </c>
      <c r="J16" s="12" t="s">
        <v>211</v>
      </c>
    </row>
    <row r="17" customFormat="false" ht="15" hidden="false" customHeight="false" outlineLevel="0" collapsed="false">
      <c r="A17" s="14" t="s">
        <v>214</v>
      </c>
      <c r="B17" s="53" t="n">
        <f aca="false">COUNTIF(Trades!$Q$5:$Q$29, "Ja")</f>
        <v>21</v>
      </c>
      <c r="C17" s="53" t="n">
        <f aca="false">COUNTIFS(Trades!$Q$5:$Q$29, "Ja", Trades!$M$5:$M$29, "&gt;0")</f>
        <v>18</v>
      </c>
      <c r="D17" s="53" t="n">
        <f aca="false">COUNTIFS(Trades!$Q$5:$Q$29, "Ja", Trades!$M$5:$M$29, "&lt;0")</f>
        <v>3</v>
      </c>
      <c r="E17" s="54" t="n">
        <f aca="false">IF(B17&gt;0, C17/B17, 0)</f>
        <v>0.857142857142857</v>
      </c>
      <c r="F17" s="42" t="n">
        <f aca="false">SUMIF(Trades!$Q$5:$Q$29, "Ja", Trades!$M$5:$M$29)</f>
        <v>-12927.5000000001</v>
      </c>
      <c r="G17" s="42" t="n">
        <f aca="false">IF(B17&gt;0, F17/B17, 0)</f>
        <v>-615.595238095243</v>
      </c>
      <c r="H17" s="43" t="n">
        <f aca="false">IF(B17&gt;0, AVERAGEIF(Trades!$Q$5:$Q$29, "Ja", Trades!$N$5:$N$29), 0)</f>
        <v>1.84113447971781</v>
      </c>
      <c r="I17" s="55" t="n">
        <f aca="false">IF(ABS(SUMIFS(Trades!$M$5:$M$29, Trades!$Q$5:$Q$29, "Ja", Trades!$M$5:$M$29, "&lt;0"))&gt;0, SUMIFS(Trades!$M$5:$M$29, Trades!$Q$5:$Q$29, "Ja", Trades!$M$5:$M$29, "&gt;0")/ABS(SUMIFS(Trades!$M$5:$M$29, Trades!$Q$5:$Q$29, "Ja", Trades!$M$5:$M$29, "&lt;0")), 0)</f>
        <v>0.294080707693986</v>
      </c>
      <c r="J17" s="42" t="n">
        <f aca="false">G17</f>
        <v>-615.595238095243</v>
      </c>
    </row>
    <row r="18" customFormat="false" ht="15" hidden="false" customHeight="false" outlineLevel="0" collapsed="false">
      <c r="A18" s="20" t="s">
        <v>215</v>
      </c>
      <c r="B18" s="56" t="n">
        <f aca="false">COUNTIF(Trades!$Q$5:$Q$29, "Nein")</f>
        <v>4</v>
      </c>
      <c r="C18" s="56" t="n">
        <f aca="false">COUNTIFS(Trades!$Q$5:$Q$29, "Nein", Trades!$M$5:$M$29, "&gt;0")</f>
        <v>1</v>
      </c>
      <c r="D18" s="56" t="n">
        <f aca="false">COUNTIFS(Trades!$Q$5:$Q$29, "Nein", Trades!$M$5:$M$29, "&lt;0")</f>
        <v>3</v>
      </c>
      <c r="E18" s="57" t="n">
        <f aca="false">IF(B18&gt;0, C18/B18, 0)</f>
        <v>0.25</v>
      </c>
      <c r="F18" s="46" t="n">
        <f aca="false">SUMIF(Trades!$Q$5:$Q$29, "Nein", Trades!$M$5:$M$29)</f>
        <v>-411</v>
      </c>
      <c r="G18" s="46" t="n">
        <f aca="false">IF(B18&gt;0, F18/B18, 0)</f>
        <v>-102.75</v>
      </c>
      <c r="H18" s="47" t="n">
        <f aca="false">IF(B18&gt;0, AVERAGEIF(Trades!$Q$5:$Q$29, "Nein", Trades!$N$5:$N$29), 0)</f>
        <v>-0.75808035714287</v>
      </c>
      <c r="I18" s="58" t="n">
        <f aca="false">IF(ABS(SUMIFS(Trades!$M$5:$M$29, Trades!$Q$5:$Q$29, "Nein", Trades!$M$5:$M$29, "&lt;0"))&gt;0, SUMIFS(Trades!$M$5:$M$29, Trades!$Q$5:$Q$29, "Nein", Trades!$M$5:$M$29, "&gt;0")/ABS(SUMIFS(Trades!$M$5:$M$29, Trades!$Q$5:$Q$29, "Nein", Trades!$M$5:$M$29, "&lt;0")), 0)</f>
        <v>0.197265625</v>
      </c>
      <c r="J18" s="46" t="n">
        <f aca="false">G18</f>
        <v>-102.75</v>
      </c>
    </row>
    <row r="21" customFormat="false" ht="15" hidden="false" customHeight="false" outlineLevel="0" collapsed="false">
      <c r="A21" s="11" t="s">
        <v>216</v>
      </c>
    </row>
    <row r="22" customFormat="false" ht="15" hidden="false" customHeight="false" outlineLevel="0" collapsed="false">
      <c r="A22" s="12" t="s">
        <v>217</v>
      </c>
      <c r="B22" s="12" t="s">
        <v>218</v>
      </c>
      <c r="C22" s="12" t="s">
        <v>219</v>
      </c>
      <c r="D22" s="12" t="s">
        <v>220</v>
      </c>
      <c r="E22" s="12" t="s">
        <v>221</v>
      </c>
    </row>
    <row r="23" customFormat="false" ht="15" hidden="false" customHeight="false" outlineLevel="0" collapsed="false">
      <c r="A23" s="14" t="s">
        <v>181</v>
      </c>
      <c r="B23" s="53" t="n">
        <f aca="false">COUNTIF(Trades!$R$5:$R$29, A23)</f>
        <v>1</v>
      </c>
      <c r="C23" s="54" t="n">
        <f aca="false">IF(Dashboard!$B$14&gt;0, B23/Dashboard!$B$14, 0)</f>
        <v>0.04</v>
      </c>
      <c r="D23" s="42" t="n">
        <f aca="false">SUMIF(Trades!$R$5:$R$29, A23, Trades!$M$5:$M$29)</f>
        <v>101</v>
      </c>
      <c r="E23" s="42" t="n">
        <f aca="false">IF(B23&gt;0, D23/B23, 0)</f>
        <v>101</v>
      </c>
    </row>
    <row r="24" customFormat="false" ht="15" hidden="false" customHeight="false" outlineLevel="0" collapsed="false">
      <c r="A24" s="20" t="s">
        <v>222</v>
      </c>
      <c r="B24" s="56" t="n">
        <f aca="false">COUNTIF(Trades!$R$5:$R$29, A24)</f>
        <v>0</v>
      </c>
      <c r="C24" s="57" t="n">
        <f aca="false">IF(Dashboard!$B$14&gt;0, B24/Dashboard!$B$14, 0)</f>
        <v>0</v>
      </c>
      <c r="D24" s="46" t="n">
        <f aca="false">SUMIF(Trades!$R$5:$R$29, A24, Trades!$M$5:$M$29)</f>
        <v>0</v>
      </c>
      <c r="E24" s="46" t="n">
        <f aca="false">IF(B24&gt;0, D24/B24, 0)</f>
        <v>0</v>
      </c>
    </row>
    <row r="25" customFormat="false" ht="15" hidden="false" customHeight="false" outlineLevel="0" collapsed="false">
      <c r="A25" s="14" t="s">
        <v>223</v>
      </c>
      <c r="B25" s="53" t="n">
        <f aca="false">COUNTIF(Trades!$R$5:$R$29, A25)</f>
        <v>0</v>
      </c>
      <c r="C25" s="54" t="n">
        <f aca="false">IF(Dashboard!$B$14&gt;0, B25/Dashboard!$B$14, 0)</f>
        <v>0</v>
      </c>
      <c r="D25" s="42" t="n">
        <f aca="false">SUMIF(Trades!$R$5:$R$29, A25, Trades!$M$5:$M$29)</f>
        <v>0</v>
      </c>
      <c r="E25" s="42" t="n">
        <f aca="false">IF(B25&gt;0, D25/B25, 0)</f>
        <v>0</v>
      </c>
    </row>
    <row r="26" customFormat="false" ht="15" hidden="false" customHeight="false" outlineLevel="0" collapsed="false">
      <c r="A26" s="20" t="s">
        <v>168</v>
      </c>
      <c r="B26" s="56" t="n">
        <f aca="false">COUNTIF(Trades!$R$5:$R$29, A26)</f>
        <v>1</v>
      </c>
      <c r="C26" s="57" t="n">
        <f aca="false">IF(Dashboard!$B$14&gt;0, B26/Dashboard!$B$14, 0)</f>
        <v>0.04</v>
      </c>
      <c r="D26" s="46" t="n">
        <f aca="false">SUMIF(Trades!$R$5:$R$29, A26, Trades!$M$5:$M$29)</f>
        <v>-183</v>
      </c>
      <c r="E26" s="46" t="n">
        <f aca="false">IF(B26&gt;0, D26/B26, 0)</f>
        <v>-183</v>
      </c>
    </row>
    <row r="27" customFormat="false" ht="15" hidden="false" customHeight="false" outlineLevel="0" collapsed="false">
      <c r="A27" s="14" t="s">
        <v>224</v>
      </c>
      <c r="B27" s="53" t="n">
        <f aca="false">COUNTIF(Trades!$R$5:$R$29, A27)</f>
        <v>0</v>
      </c>
      <c r="C27" s="54" t="n">
        <f aca="false">IF(Dashboard!$B$14&gt;0, B27/Dashboard!$B$14, 0)</f>
        <v>0</v>
      </c>
      <c r="D27" s="42" t="n">
        <f aca="false">SUMIF(Trades!$R$5:$R$29, A27, Trades!$M$5:$M$29)</f>
        <v>0</v>
      </c>
      <c r="E27" s="42" t="n">
        <f aca="false">IF(B27&gt;0, D27/B27, 0)</f>
        <v>0</v>
      </c>
    </row>
    <row r="28" customFormat="false" ht="15" hidden="false" customHeight="false" outlineLevel="0" collapsed="false">
      <c r="A28" s="20" t="s">
        <v>153</v>
      </c>
      <c r="B28" s="56" t="n">
        <f aca="false">COUNTIF(Trades!$R$5:$R$29, A28)</f>
        <v>1</v>
      </c>
      <c r="C28" s="57" t="n">
        <f aca="false">IF(Dashboard!$B$14&gt;0, B28/Dashboard!$B$14, 0)</f>
        <v>0.04</v>
      </c>
      <c r="D28" s="46" t="n">
        <f aca="false">SUMIF(Trades!$R$5:$R$29, A28, Trades!$M$5:$M$29)</f>
        <v>-125</v>
      </c>
      <c r="E28" s="46" t="n">
        <f aca="false">IF(B28&gt;0, D28/B28, 0)</f>
        <v>-125</v>
      </c>
    </row>
    <row r="29" customFormat="false" ht="15" hidden="false" customHeight="false" outlineLevel="0" collapsed="false">
      <c r="A29" s="14" t="s">
        <v>189</v>
      </c>
      <c r="B29" s="53" t="n">
        <f aca="false">COUNTIF(Trades!$R$5:$R$29, A29)</f>
        <v>1</v>
      </c>
      <c r="C29" s="54" t="n">
        <f aca="false">IF(Dashboard!$B$14&gt;0, B29/Dashboard!$B$14, 0)</f>
        <v>0.04</v>
      </c>
      <c r="D29" s="42" t="n">
        <f aca="false">SUMIF(Trades!$R$5:$R$29, A29, Trades!$M$5:$M$29)</f>
        <v>-204</v>
      </c>
      <c r="E29" s="42" t="n">
        <f aca="false">IF(B29&gt;0, D29/B29, 0)</f>
        <v>-204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14"/>
    <col collapsed="false" customWidth="true" hidden="false" outlineLevel="0" max="6" min="6" style="0" width="4"/>
    <col collapsed="false" customWidth="true" hidden="false" outlineLevel="0" max="7" min="7" style="0" width="14"/>
    <col collapsed="false" customWidth="true" hidden="false" outlineLevel="0" max="8" min="8" style="0" width="4"/>
    <col collapsed="false" customWidth="true" hidden="false" outlineLevel="0" max="9" min="9" style="0" width="28"/>
    <col collapsed="false" customWidth="true" hidden="false" outlineLevel="0" max="10" min="10" style="0" width="4"/>
    <col collapsed="false" customWidth="true" hidden="false" outlineLevel="0" max="11" min="11" style="0" width="18"/>
  </cols>
  <sheetData>
    <row r="1" customFormat="false" ht="24" hidden="false" customHeight="true" outlineLevel="0" collapsed="false">
      <c r="A1" s="1" t="s">
        <v>225</v>
      </c>
    </row>
    <row r="2" customFormat="false" ht="18" hidden="false" customHeight="true" outlineLevel="0" collapsed="false">
      <c r="A2" s="2" t="s">
        <v>226</v>
      </c>
    </row>
    <row r="4" customFormat="false" ht="15" hidden="false" customHeight="false" outlineLevel="0" collapsed="false">
      <c r="A4" s="12" t="s">
        <v>104</v>
      </c>
      <c r="C4" s="12" t="s">
        <v>227</v>
      </c>
      <c r="E4" s="12" t="s">
        <v>103</v>
      </c>
      <c r="G4" s="12" t="s">
        <v>115</v>
      </c>
      <c r="I4" s="12" t="s">
        <v>116</v>
      </c>
      <c r="K4" s="12" t="s">
        <v>102</v>
      </c>
    </row>
    <row r="5" customFormat="false" ht="15" hidden="false" customHeight="false" outlineLevel="0" collapsed="false">
      <c r="A5" s="62" t="s">
        <v>122</v>
      </c>
      <c r="C5" s="63" t="s">
        <v>119</v>
      </c>
      <c r="E5" s="63" t="s">
        <v>121</v>
      </c>
      <c r="G5" s="63" t="s">
        <v>123</v>
      </c>
      <c r="I5" s="62" t="s">
        <v>124</v>
      </c>
      <c r="K5" s="63" t="s">
        <v>134</v>
      </c>
    </row>
    <row r="6" customFormat="false" ht="15" hidden="false" customHeight="false" outlineLevel="0" collapsed="false">
      <c r="A6" s="62" t="s">
        <v>135</v>
      </c>
      <c r="C6" s="63" t="s">
        <v>127</v>
      </c>
      <c r="E6" s="63" t="s">
        <v>129</v>
      </c>
      <c r="G6" s="63" t="s">
        <v>152</v>
      </c>
      <c r="I6" s="62" t="s">
        <v>181</v>
      </c>
      <c r="K6" s="63" t="s">
        <v>120</v>
      </c>
    </row>
    <row r="7" customFormat="false" ht="15" hidden="false" customHeight="false" outlineLevel="0" collapsed="false">
      <c r="A7" s="62" t="s">
        <v>130</v>
      </c>
      <c r="C7" s="63" t="s">
        <v>156</v>
      </c>
      <c r="I7" s="62" t="s">
        <v>222</v>
      </c>
      <c r="K7" s="63" t="s">
        <v>128</v>
      </c>
    </row>
    <row r="8" customFormat="false" ht="15" hidden="false" customHeight="false" outlineLevel="0" collapsed="false">
      <c r="A8" s="62" t="s">
        <v>138</v>
      </c>
      <c r="C8" s="63" t="s">
        <v>178</v>
      </c>
      <c r="I8" s="62" t="s">
        <v>223</v>
      </c>
      <c r="K8" s="63" t="s">
        <v>142</v>
      </c>
    </row>
    <row r="9" customFormat="false" ht="15" hidden="false" customHeight="false" outlineLevel="0" collapsed="false">
      <c r="A9" s="62" t="s">
        <v>160</v>
      </c>
      <c r="C9" s="63" t="s">
        <v>141</v>
      </c>
      <c r="I9" s="62" t="s">
        <v>168</v>
      </c>
      <c r="K9" s="63" t="s">
        <v>146</v>
      </c>
    </row>
    <row r="10" customFormat="false" ht="15" hidden="false" customHeight="false" outlineLevel="0" collapsed="false">
      <c r="A10" s="62" t="s">
        <v>167</v>
      </c>
      <c r="C10" s="63" t="s">
        <v>228</v>
      </c>
      <c r="I10" s="62" t="s">
        <v>224</v>
      </c>
    </row>
    <row r="11" customFormat="false" ht="15" hidden="false" customHeight="false" outlineLevel="0" collapsed="false">
      <c r="C11" s="63" t="s">
        <v>133</v>
      </c>
      <c r="I11" s="62" t="s">
        <v>153</v>
      </c>
    </row>
    <row r="12" customFormat="false" ht="15" hidden="false" customHeight="false" outlineLevel="0" collapsed="false">
      <c r="C12" s="63" t="s">
        <v>149</v>
      </c>
      <c r="I12" s="62" t="s">
        <v>189</v>
      </c>
    </row>
    <row r="13" customFormat="false" ht="15" hidden="false" customHeight="false" outlineLevel="0" collapsed="false">
      <c r="C13" s="63" t="s">
        <v>159</v>
      </c>
    </row>
    <row r="14" customFormat="false" ht="15" hidden="false" customHeight="false" outlineLevel="0" collapsed="false">
      <c r="C14" s="63" t="s">
        <v>145</v>
      </c>
    </row>
    <row r="15" customFormat="false" ht="15" hidden="false" customHeight="false" outlineLevel="0" collapsed="false">
      <c r="C15" s="63" t="s">
        <v>173</v>
      </c>
    </row>
    <row r="16" customFormat="false" ht="15" hidden="false" customHeight="false" outlineLevel="0" collapsed="false">
      <c r="C16" s="63" t="s">
        <v>186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85"/>
  </cols>
  <sheetData>
    <row r="1" customFormat="false" ht="24" hidden="false" customHeight="true" outlineLevel="0" collapsed="false">
      <c r="A1" s="1" t="s">
        <v>229</v>
      </c>
    </row>
    <row r="2" customFormat="false" ht="18" hidden="false" customHeight="true" outlineLevel="0" collapsed="false">
      <c r="A2" s="2" t="s">
        <v>230</v>
      </c>
    </row>
    <row r="4" customFormat="false" ht="15" hidden="false" customHeight="false" outlineLevel="0" collapsed="false">
      <c r="A4" s="11" t="s">
        <v>231</v>
      </c>
    </row>
    <row r="5" customFormat="false" ht="15" hidden="false" customHeight="false" outlineLevel="0" collapsed="false">
      <c r="A5" s="64" t="s">
        <v>232</v>
      </c>
      <c r="B5" s="64" t="s">
        <v>233</v>
      </c>
    </row>
    <row r="6" customFormat="false" ht="20.85" hidden="false" customHeight="false" outlineLevel="0" collapsed="false">
      <c r="A6" s="65" t="s">
        <v>234</v>
      </c>
      <c r="B6" s="17" t="s">
        <v>235</v>
      </c>
    </row>
    <row r="7" customFormat="false" ht="20.85" hidden="false" customHeight="false" outlineLevel="0" collapsed="false">
      <c r="A7" s="66" t="s">
        <v>236</v>
      </c>
      <c r="B7" s="23" t="s">
        <v>237</v>
      </c>
    </row>
    <row r="8" customFormat="false" ht="20.85" hidden="false" customHeight="false" outlineLevel="0" collapsed="false">
      <c r="A8" s="65" t="s">
        <v>238</v>
      </c>
      <c r="B8" s="17" t="s">
        <v>239</v>
      </c>
    </row>
    <row r="9" customFormat="false" ht="20.85" hidden="false" customHeight="false" outlineLevel="0" collapsed="false">
      <c r="A9" s="66" t="s">
        <v>240</v>
      </c>
      <c r="B9" s="23" t="s">
        <v>241</v>
      </c>
    </row>
    <row r="11" customFormat="false" ht="15" hidden="false" customHeight="false" outlineLevel="0" collapsed="false">
      <c r="A11" s="11" t="s">
        <v>242</v>
      </c>
    </row>
    <row r="12" customFormat="false" ht="15" hidden="false" customHeight="false" outlineLevel="0" collapsed="false">
      <c r="A12" s="64" t="s">
        <v>232</v>
      </c>
      <c r="B12" s="64" t="s">
        <v>233</v>
      </c>
    </row>
    <row r="13" customFormat="false" ht="15" hidden="false" customHeight="false" outlineLevel="0" collapsed="false">
      <c r="A13" s="66" t="s">
        <v>243</v>
      </c>
      <c r="B13" s="23" t="s">
        <v>244</v>
      </c>
    </row>
    <row r="14" customFormat="false" ht="15" hidden="false" customHeight="false" outlineLevel="0" collapsed="false">
      <c r="A14" s="65" t="s">
        <v>111</v>
      </c>
      <c r="B14" s="17" t="s">
        <v>245</v>
      </c>
    </row>
    <row r="15" customFormat="false" ht="15" hidden="false" customHeight="false" outlineLevel="0" collapsed="false">
      <c r="A15" s="66" t="s">
        <v>246</v>
      </c>
      <c r="B15" s="23" t="s">
        <v>247</v>
      </c>
    </row>
    <row r="16" customFormat="false" ht="15" hidden="false" customHeight="false" outlineLevel="0" collapsed="false">
      <c r="A16" s="65" t="s">
        <v>49</v>
      </c>
      <c r="B16" s="17" t="s">
        <v>248</v>
      </c>
    </row>
    <row r="17" customFormat="false" ht="20.85" hidden="false" customHeight="false" outlineLevel="0" collapsed="false">
      <c r="A17" s="66" t="s">
        <v>44</v>
      </c>
      <c r="B17" s="23" t="s">
        <v>249</v>
      </c>
    </row>
    <row r="18" customFormat="false" ht="15" hidden="false" customHeight="false" outlineLevel="0" collapsed="false">
      <c r="A18" s="65" t="s">
        <v>250</v>
      </c>
      <c r="B18" s="17" t="s">
        <v>251</v>
      </c>
    </row>
    <row r="19" customFormat="false" ht="15" hidden="false" customHeight="false" outlineLevel="0" collapsed="false">
      <c r="A19" s="66" t="s">
        <v>252</v>
      </c>
      <c r="B19" s="23" t="s">
        <v>253</v>
      </c>
    </row>
    <row r="21" customFormat="false" ht="15" hidden="false" customHeight="false" outlineLevel="0" collapsed="false">
      <c r="A21" s="11" t="s">
        <v>254</v>
      </c>
    </row>
    <row r="22" customFormat="false" ht="15" hidden="false" customHeight="false" outlineLevel="0" collapsed="false">
      <c r="A22" s="64" t="s">
        <v>232</v>
      </c>
      <c r="B22" s="64" t="s">
        <v>233</v>
      </c>
    </row>
    <row r="23" customFormat="false" ht="20.85" hidden="false" customHeight="false" outlineLevel="0" collapsed="false">
      <c r="A23" s="66" t="s">
        <v>255</v>
      </c>
      <c r="B23" s="23" t="s">
        <v>256</v>
      </c>
    </row>
    <row r="24" customFormat="false" ht="20.85" hidden="false" customHeight="false" outlineLevel="0" collapsed="false">
      <c r="A24" s="65" t="s">
        <v>257</v>
      </c>
      <c r="B24" s="17" t="s">
        <v>258</v>
      </c>
    </row>
    <row r="25" customFormat="false" ht="20.85" hidden="false" customHeight="false" outlineLevel="0" collapsed="false">
      <c r="A25" s="66" t="s">
        <v>259</v>
      </c>
      <c r="B25" s="23" t="s">
        <v>260</v>
      </c>
    </row>
    <row r="27" customFormat="false" ht="15" hidden="false" customHeight="false" outlineLevel="0" collapsed="false">
      <c r="A27" s="11" t="s">
        <v>261</v>
      </c>
    </row>
    <row r="28" customFormat="false" ht="15" hidden="false" customHeight="false" outlineLevel="0" collapsed="false">
      <c r="A28" s="64" t="s">
        <v>232</v>
      </c>
      <c r="B28" s="64" t="s">
        <v>233</v>
      </c>
    </row>
    <row r="29" customFormat="false" ht="20.85" hidden="false" customHeight="false" outlineLevel="0" collapsed="false">
      <c r="A29" s="66" t="s">
        <v>262</v>
      </c>
      <c r="B29" s="23" t="s">
        <v>263</v>
      </c>
    </row>
    <row r="30" customFormat="false" ht="20.85" hidden="false" customHeight="false" outlineLevel="0" collapsed="false">
      <c r="A30" s="65" t="s">
        <v>264</v>
      </c>
      <c r="B30" s="17" t="s">
        <v>265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2026-08-30T06:37:44Z</dcterms:created>
  <dc:creator>openpyxl</dc:creator>
  <dc:description/>
  <dc:language>en-US</dc:language>
  <cp:lastModifiedBy/>
  <dcterms:modified xsi:type="dcterms:W3CDTF">2026-08-30T06:38:02Z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