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uzeitenplan" sheetId="1" state="visible" r:id="rId2"/>
    <sheet name="Liquiditätsplanung" sheetId="2" state="visible" r:id="rId3"/>
    <sheet name="Kostenrisiko-Rechner" sheetId="3" state="visible" r:id="rId4"/>
    <sheet name="Meilensteine &amp; Zahlungen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<sst xmlns="http://schemas.openxmlformats.org/spreadsheetml/2006/main" count="205" uniqueCount="197">
  <si>
    <t xml:space="preserve">BAUZEITENPLAN – DYNAMISCHES GANTT-DIAGRAMM</t>
  </si>
  <si>
    <t xml:space="preserve">Projektcontrolling | Zeitliche &amp; finanzielle Steuerung</t>
  </si>
  <si>
    <t xml:space="preserve">PROJEKTPARAMETER  (blaue Felder = Eingabe)</t>
  </si>
  <si>
    <t xml:space="preserve">Projektname:</t>
  </si>
  <si>
    <t xml:space="preserve">Neubau Gewerbegebäude A</t>
  </si>
  <si>
    <t xml:space="preserve">Projektnummer:</t>
  </si>
  <si>
    <t xml:space="preserve">PRJ-2026-001</t>
  </si>
  <si>
    <t xml:space="preserve">Projektleiter:</t>
  </si>
  <si>
    <t xml:space="preserve">M. Müller</t>
  </si>
  <si>
    <t xml:space="preserve">Projektstartdatum:</t>
  </si>
  <si>
    <t xml:space="preserve">Gesamtbudget (€):</t>
  </si>
  <si>
    <t xml:space="preserve">Risikopuffer (%):</t>
  </si>
  <si>
    <t xml:space="preserve">Nr.</t>
  </si>
  <si>
    <t xml:space="preserve">Gewerk / Aufgabe</t>
  </si>
  <si>
    <t xml:space="preserve">Start
(geplant)</t>
  </si>
  <si>
    <t xml:space="preserve">Dauer
(AT)</t>
  </si>
  <si>
    <t xml:space="preserve">Ende
(geplant)</t>
  </si>
  <si>
    <t xml:space="preserve">Budget (€)</t>
  </si>
  <si>
    <t xml:space="preserve">Ist-Kosten (€)</t>
  </si>
  <si>
    <t xml:space="preserve">Abweichung (€)</t>
  </si>
  <si>
    <t xml:space="preserve">1</t>
  </si>
  <si>
    <t xml:space="preserve">BAUSTELLENEINRICHTUNG</t>
  </si>
  <si>
    <t xml:space="preserve">1.1</t>
  </si>
  <si>
    <t xml:space="preserve">Baustelleneinrichtung</t>
  </si>
  <si>
    <t xml:space="preserve">1.2</t>
  </si>
  <si>
    <t xml:space="preserve">Vermessung / Absteckung</t>
  </si>
  <si>
    <t xml:space="preserve">2</t>
  </si>
  <si>
    <t xml:space="preserve">ERDARBEITEN</t>
  </si>
  <si>
    <t xml:space="preserve">2.1</t>
  </si>
  <si>
    <t xml:space="preserve">Aushub Baugrube</t>
  </si>
  <si>
    <t xml:space="preserve">2.2</t>
  </si>
  <si>
    <t xml:space="preserve">Entsorgung Aushubmaterial</t>
  </si>
  <si>
    <t xml:space="preserve">2.3</t>
  </si>
  <si>
    <t xml:space="preserve">Drainageleitungen</t>
  </si>
  <si>
    <t xml:space="preserve">3</t>
  </si>
  <si>
    <t xml:space="preserve">FUNDAMENT</t>
  </si>
  <si>
    <t xml:space="preserve">3.1</t>
  </si>
  <si>
    <t xml:space="preserve">Sauberkeitsschicht</t>
  </si>
  <si>
    <t xml:space="preserve">3.2</t>
  </si>
  <si>
    <t xml:space="preserve">Bodenplatte Beton</t>
  </si>
  <si>
    <t xml:space="preserve">3.3</t>
  </si>
  <si>
    <t xml:space="preserve">Abdichtungsarbeiten</t>
  </si>
  <si>
    <t xml:space="preserve">4</t>
  </si>
  <si>
    <t xml:space="preserve">ROHBAU</t>
  </si>
  <si>
    <t xml:space="preserve">4.1</t>
  </si>
  <si>
    <t xml:space="preserve">Mauerwerk EG</t>
  </si>
  <si>
    <t xml:space="preserve">4.2</t>
  </si>
  <si>
    <t xml:space="preserve">Decke EG</t>
  </si>
  <si>
    <t xml:space="preserve">4.3</t>
  </si>
  <si>
    <t xml:space="preserve">Mauerwerk OG</t>
  </si>
  <si>
    <t xml:space="preserve">4.4</t>
  </si>
  <si>
    <t xml:space="preserve">Decke OG</t>
  </si>
  <si>
    <t xml:space="preserve">5</t>
  </si>
  <si>
    <t xml:space="preserve">DACHSTUHL &amp; DACHDECKUNG</t>
  </si>
  <si>
    <t xml:space="preserve">5.1</t>
  </si>
  <si>
    <t xml:space="preserve">Dachstuhl Holzkonstruktion</t>
  </si>
  <si>
    <t xml:space="preserve">5.2</t>
  </si>
  <si>
    <t xml:space="preserve">Dachdeckung / Eindeckung</t>
  </si>
  <si>
    <t xml:space="preserve">5.3</t>
  </si>
  <si>
    <t xml:space="preserve">Dachentwässerung</t>
  </si>
  <si>
    <t xml:space="preserve">6</t>
  </si>
  <si>
    <t xml:space="preserve">TECHNISCHE GEBÄUDEAUSRÜSTG.</t>
  </si>
  <si>
    <t xml:space="preserve">6.1</t>
  </si>
  <si>
    <t xml:space="preserve">Elektroinstallation Roh</t>
  </si>
  <si>
    <t xml:space="preserve">6.2</t>
  </si>
  <si>
    <t xml:space="preserve">Heizung / Sanitär Roh</t>
  </si>
  <si>
    <t xml:space="preserve">6.3</t>
  </si>
  <si>
    <t xml:space="preserve">Lüftungsanlage</t>
  </si>
  <si>
    <t xml:space="preserve">7</t>
  </si>
  <si>
    <t xml:space="preserve">INNENAUSBAU</t>
  </si>
  <si>
    <t xml:space="preserve">7.1</t>
  </si>
  <si>
    <t xml:space="preserve">Estrich</t>
  </si>
  <si>
    <t xml:space="preserve">7.2</t>
  </si>
  <si>
    <t xml:space="preserve">Trockenbau / Putz</t>
  </si>
  <si>
    <t xml:space="preserve">7.3</t>
  </si>
  <si>
    <t xml:space="preserve">Bodenbeläge / Fliesen</t>
  </si>
  <si>
    <t xml:space="preserve">7.4</t>
  </si>
  <si>
    <t xml:space="preserve">Malerarbeiten</t>
  </si>
  <si>
    <t xml:space="preserve">8</t>
  </si>
  <si>
    <t xml:space="preserve">AUSSENANLAGEN &amp; ABNAHME</t>
  </si>
  <si>
    <t xml:space="preserve">8.1</t>
  </si>
  <si>
    <t xml:space="preserve">Aussenanlagen / Pflaster</t>
  </si>
  <si>
    <t xml:space="preserve">8.2</t>
  </si>
  <si>
    <t xml:space="preserve">Endabnahme / Übergabe</t>
  </si>
  <si>
    <t xml:space="preserve">PROJEKTGESAMT</t>
  </si>
  <si>
    <t xml:space="preserve">LEGENDE</t>
  </si>
  <si>
    <t xml:space="preserve">  Gelb = Eingabefeld (blaue Schrift)</t>
  </si>
  <si>
    <t xml:space="preserve">  Blau = Gewerk-Balken im Gantt-Diagramm</t>
  </si>
  <si>
    <t xml:space="preserve">  Grün = Meilenstein / Abnahme</t>
  </si>
  <si>
    <t xml:space="preserve">  Orange = Verzug / Risiko</t>
  </si>
  <si>
    <t xml:space="preserve">LIQUIDITÄTSPLANUNG &amp; SOLL-IST-VERGLEICH</t>
  </si>
  <si>
    <t xml:space="preserve">Monatliche Cashflow-Übersicht | Verknüpft mit Bauzeitenplan</t>
  </si>
  <si>
    <t xml:space="preserve">Position</t>
  </si>
  <si>
    <t xml:space="preserve">Mrz 26</t>
  </si>
  <si>
    <t xml:space="preserve">Apr 26</t>
  </si>
  <si>
    <t xml:space="preserve">Mai 26</t>
  </si>
  <si>
    <t xml:space="preserve">Jun 26</t>
  </si>
  <si>
    <t xml:space="preserve">Jul 26</t>
  </si>
  <si>
    <t xml:space="preserve">Aug 26</t>
  </si>
  <si>
    <t xml:space="preserve">Sep 26</t>
  </si>
  <si>
    <t xml:space="preserve">Okt 26</t>
  </si>
  <si>
    <t xml:space="preserve">Nov 26</t>
  </si>
  <si>
    <t xml:space="preserve">Dez 26</t>
  </si>
  <si>
    <t xml:space="preserve">Jan 27</t>
  </si>
  <si>
    <t xml:space="preserve">Feb 27</t>
  </si>
  <si>
    <t xml:space="preserve">GESAMT</t>
  </si>
  <si>
    <t xml:space="preserve">EINNAHMEN</t>
  </si>
  <si>
    <t xml:space="preserve">Abschlagszahlungen</t>
  </si>
  <si>
    <t xml:space="preserve">Schlussrechnung</t>
  </si>
  <si>
    <t xml:space="preserve">Gesamt Einnahmen</t>
  </si>
  <si>
    <t xml:space="preserve">AUSGABEN</t>
  </si>
  <si>
    <t xml:space="preserve">Materialkosten</t>
  </si>
  <si>
    <t xml:space="preserve">Lohnkosten</t>
  </si>
  <si>
    <t xml:space="preserve">Gerüst / Kranmiete</t>
  </si>
  <si>
    <t xml:space="preserve">Bauleitung (fix)</t>
  </si>
  <si>
    <t xml:space="preserve">Finanzierungszinsen</t>
  </si>
  <si>
    <t xml:space="preserve">Sonstiges</t>
  </si>
  <si>
    <t xml:space="preserve">Gesamt Ausgaben</t>
  </si>
  <si>
    <t xml:space="preserve">CASHFLOW</t>
  </si>
  <si>
    <t xml:space="preserve">Monatl. Netto-CF</t>
  </si>
  <si>
    <t xml:space="preserve">Kumulierter CF</t>
  </si>
  <si>
    <t xml:space="preserve">Risikopuffer (5%)</t>
  </si>
  <si>
    <t xml:space="preserve">KOSTENRISIKO-RECHNER BEI BAUVERZÖGERUNGEN</t>
  </si>
  <si>
    <t xml:space="preserve">Simulieren Sie die finanziellen Auswirkungen von Bauverzögerungen</t>
  </si>
  <si>
    <t xml:space="preserve">EINGABEN  (blaue Felder anpassen)</t>
  </si>
  <si>
    <t xml:space="preserve">Tägliche Baustellen-Fixkosten (€)</t>
  </si>
  <si>
    <t xml:space="preserve">Gerüstmiete, Kran, Bauleitung pro Kalendertag</t>
  </si>
  <si>
    <t xml:space="preserve">Vertragsstrafe pro Verzugstag (€)</t>
  </si>
  <si>
    <t xml:space="preserve">Gemäß Bauvertrag (§ 11 VOB/B)</t>
  </si>
  <si>
    <t xml:space="preserve">Erwarteter Verzug (Tage)</t>
  </si>
  <si>
    <t xml:space="preserve">Geschätzte Verzögerung in Kalendertagen</t>
  </si>
  <si>
    <t xml:space="preserve">Finanzierungskosten p.a. (€)</t>
  </si>
  <si>
    <t xml:space="preserve">Jahreszinslast auf Fremdkapital</t>
  </si>
  <si>
    <t xml:space="preserve">Gesamtprojektkosten – Budget (€)</t>
  </si>
  <si>
    <t xml:space="preserve">Aus Bauzeitenplan-Blatt</t>
  </si>
  <si>
    <t xml:space="preserve">ERGEBNISSE</t>
  </si>
  <si>
    <t xml:space="preserve">Zusätzliche Fixkosten</t>
  </si>
  <si>
    <t xml:space="preserve">Fixkosten × Verzugstage</t>
  </si>
  <si>
    <t xml:space="preserve">Drohende Vertragsstrafen</t>
  </si>
  <si>
    <t xml:space="preserve">Strafe/Tag × Verzugstage</t>
  </si>
  <si>
    <t xml:space="preserve">Zusätzliche Finanzierungskosten</t>
  </si>
  <si>
    <t xml:space="preserve">Jahresfinanzierung ÷ 365 × Tage</t>
  </si>
  <si>
    <t xml:space="preserve">GESAMTES KOSTENRISIKO</t>
  </si>
  <si>
    <t xml:space="preserve">Summe aller Risikopositionen</t>
  </si>
  <si>
    <t xml:space="preserve">Risiko in % des Projektbudgets</t>
  </si>
  <si>
    <t xml:space="preserve">Gesamtrisiko / Budget</t>
  </si>
  <si>
    <t xml:space="preserve">SZENARIO-VERGLEICH  (Was-wäre-wenn-Analyse)</t>
  </si>
  <si>
    <t xml:space="preserve">Szenario</t>
  </si>
  <si>
    <t xml:space="preserve">Verzug (Tage)</t>
  </si>
  <si>
    <t xml:space="preserve">Gesamtrisiko (€)</t>
  </si>
  <si>
    <t xml:space="preserve">% vom Budget</t>
  </si>
  <si>
    <t xml:space="preserve">Best Case</t>
  </si>
  <si>
    <t xml:space="preserve">Base Case</t>
  </si>
  <si>
    <t xml:space="preserve">Stress Case</t>
  </si>
  <si>
    <t xml:space="preserve">Worst Case</t>
  </si>
  <si>
    <t xml:space="preserve">MEILENSTEINPLAN &amp; ZAHLUNGSÜBERSICHT</t>
  </si>
  <si>
    <t xml:space="preserve">Verknüpfte Meilenstein-Zahlungen | Abschlagszahlungen gemäß Baufortschritt</t>
  </si>
  <si>
    <t xml:space="preserve">Meilenstein / Ereignis</t>
  </si>
  <si>
    <t xml:space="preserve">Fälligkeitsdatum</t>
  </si>
  <si>
    <t xml:space="preserve">Zahlungsbetrag (€)</t>
  </si>
  <si>
    <t xml:space="preserve">Status</t>
  </si>
  <si>
    <t xml:space="preserve">Eingang gebucht (€)</t>
  </si>
  <si>
    <t xml:space="preserve">Offen (€)</t>
  </si>
  <si>
    <t xml:space="preserve">M1</t>
  </si>
  <si>
    <t xml:space="preserve">Baubeginn / Baustelleneinrichtung</t>
  </si>
  <si>
    <t xml:space="preserve">01.03.2026</t>
  </si>
  <si>
    <t xml:space="preserve">Abgerechnet</t>
  </si>
  <si>
    <t xml:space="preserve">M2</t>
  </si>
  <si>
    <t xml:space="preserve">Erdarbeiten abgeschlossen</t>
  </si>
  <si>
    <t xml:space="preserve">20.03.2026</t>
  </si>
  <si>
    <t xml:space="preserve">M3</t>
  </si>
  <si>
    <t xml:space="preserve">Fundament fertiggestellt</t>
  </si>
  <si>
    <t xml:space="preserve">25.04.2026</t>
  </si>
  <si>
    <t xml:space="preserve">M4</t>
  </si>
  <si>
    <t xml:space="preserve">Rohbau Erdgeschoss</t>
  </si>
  <si>
    <t xml:space="preserve">15.05.2026</t>
  </si>
  <si>
    <t xml:space="preserve">M5</t>
  </si>
  <si>
    <t xml:space="preserve">Rohbau Obergeschoss</t>
  </si>
  <si>
    <t xml:space="preserve">30.06.2026</t>
  </si>
  <si>
    <t xml:space="preserve">In Bearbeitung</t>
  </si>
  <si>
    <t xml:space="preserve">M6</t>
  </si>
  <si>
    <t xml:space="preserve">Dachstuhl &amp; Dachdeckung fertig</t>
  </si>
  <si>
    <t xml:space="preserve">25.07.2026</t>
  </si>
  <si>
    <t xml:space="preserve">Ausstehend</t>
  </si>
  <si>
    <t xml:space="preserve">M7</t>
  </si>
  <si>
    <t xml:space="preserve">Technische Gebäudeausrüstung Roh</t>
  </si>
  <si>
    <t xml:space="preserve">20.08.2026</t>
  </si>
  <si>
    <t xml:space="preserve">M8</t>
  </si>
  <si>
    <t xml:space="preserve">Innenausbau abgeschlossen</t>
  </si>
  <si>
    <t xml:space="preserve">05.10.2026</t>
  </si>
  <si>
    <t xml:space="preserve">M9</t>
  </si>
  <si>
    <t xml:space="preserve">Aussenanlagen fertiggestellt</t>
  </si>
  <si>
    <t xml:space="preserve">15.11.2026</t>
  </si>
  <si>
    <t xml:space="preserve">M10</t>
  </si>
  <si>
    <t xml:space="preserve">Endabnahme &amp; Schlussrechnung</t>
  </si>
  <si>
    <t xml:space="preserve">15.12.2026</t>
  </si>
  <si>
    <t xml:space="preserve">SUMME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</si>
</sst>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\.mm\.yyyy"/>
    <numFmt numFmtId="166" formatCode="#,##0&quot; €&quot;"/>
    <numFmt numFmtId="167" formatCode="0.0%"/>
    <numFmt numFmtId="168" formatCode="d"/>
    <numFmt numFmtId="169" formatCode="#,##0&quot; €&quot;;\(#,##0&quot; €)&quot;;\-"/>
    <numFmt numFmtId="170" formatCode="0&quot; Tage&quot;"/>
    <numFmt numFmtId="171" formatCode="0.00%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7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sz val="9"/>
      <color rgb="FFFFFFF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i val="true"/>
      <sz val="9"/>
      <color rgb="FF444444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b val="true"/>
      <sz val="10"/>
      <color rgb="FF444444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0066CC"/>
      </patternFill>
    </fill>
    <fill>
      <patternFill patternType="solid">
        <fgColor rgb="FFD6E4F0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70AD47"/>
        <bgColor rgb="FF99CC00"/>
      </patternFill>
    </fill>
    <fill>
      <patternFill patternType="solid">
        <fgColor rgb="FFED7D31"/>
        <bgColor rgb="FFFF8080"/>
      </patternFill>
    </fill>
    <fill>
      <patternFill patternType="solid">
        <fgColor rgb="FFC00000"/>
        <bgColor rgb="FF8000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EA9C1"/>
      </left>
      <right/>
      <top style="thin">
        <color rgb="FF8EA9C1"/>
      </top>
      <bottom style="thin">
        <color rgb="FF8EA9C1"/>
      </bottom>
      <diagonal/>
    </border>
    <border diagonalUp="false" diagonalDown="false">
      <left style="thin">
        <color rgb="FF8EA9C1"/>
      </left>
      <right style="thin">
        <color rgb="FF8EA9C1"/>
      </right>
      <top style="thin">
        <color rgb="FF8EA9C1"/>
      </top>
      <bottom style="thin">
        <color rgb="FF8EA9C1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1F3864"/>
      </top>
      <bottom style="thin">
        <color rgb="FF1F3864"/>
      </bottom>
      <diagonal/>
    </border>
    <border diagonalUp="false" diagonalDown="false">
      <left/>
      <right/>
      <top/>
      <bottom style="thin">
        <color rgb="FF1F3864"/>
      </bottom>
      <diagonal/>
    </border>
    <border diagonalUp="false" diagonalDown="false">
      <left style="hair">
        <color rgb="FF8EA9C1"/>
      </left>
      <right style="hair">
        <color rgb="FF8EA9C1"/>
      </right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1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1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6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8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6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9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1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1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color rgb="FF2E75B6"/>
        <sz val="7"/>
      </font>
      <fill>
        <patternFill>
          <bgColor rgb="FF2E75B6"/>
        </patternFill>
      </fill>
    </dxf>
    <dxf>
      <font>
        <name val="Arial"/>
        <charset val="1"/>
        <family val="0"/>
        <b val="1"/>
        <color rgb="FFFFFFFF"/>
        <sz val="10"/>
      </font>
      <fill>
        <patternFill>
          <bgColor rgb="FFC00000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ED7D31"/>
      <rgbColor rgb="FF666666"/>
      <rgbColor rgb="FF8EA9C1"/>
      <rgbColor rgb="FF1F3864"/>
      <rgbColor rgb="FF70AD47"/>
      <rgbColor rgb="FF003300"/>
      <rgbColor rgb="FF333300"/>
      <rgbColor rgb="FF993300"/>
      <rgbColor rgb="FF993366"/>
      <rgbColor rgb="FF33339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R5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1" topLeftCell="I12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8"/>
    <col collapsed="false" customWidth="true" hidden="false" outlineLevel="0" max="3" min="3" style="0" width="13"/>
    <col collapsed="false" customWidth="true" hidden="false" outlineLevel="0" max="4" min="4" style="0" width="9"/>
    <col collapsed="false" customWidth="true" hidden="false" outlineLevel="0" max="6" min="5" style="0" width="13"/>
    <col collapsed="false" customWidth="true" hidden="false" outlineLevel="0" max="8" min="7" style="0" width="14"/>
    <col collapsed="false" customWidth="true" hidden="false" outlineLevel="0" max="148" min="9" style="0" width="2.5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5.7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4" customFormat="false" ht="18" hidden="false" customHeight="true" outlineLevel="0" collapsed="false">
      <c r="A4" s="4" t="s">
        <v>3</v>
      </c>
      <c r="B4" s="5" t="s">
        <v>4</v>
      </c>
      <c r="C4" s="5"/>
      <c r="D4" s="5"/>
    </row>
    <row r="5" customFormat="false" ht="18" hidden="false" customHeight="true" outlineLevel="0" collapsed="false">
      <c r="A5" s="4" t="s">
        <v>5</v>
      </c>
      <c r="B5" s="5" t="s">
        <v>6</v>
      </c>
      <c r="C5" s="5"/>
      <c r="D5" s="5"/>
    </row>
    <row r="6" customFormat="false" ht="18" hidden="false" customHeight="true" outlineLevel="0" collapsed="false">
      <c r="A6" s="4" t="s">
        <v>7</v>
      </c>
      <c r="B6" s="5" t="s">
        <v>8</v>
      </c>
      <c r="C6" s="5"/>
      <c r="D6" s="5"/>
    </row>
    <row r="7" customFormat="false" ht="18" hidden="false" customHeight="true" outlineLevel="0" collapsed="false">
      <c r="A7" s="4" t="s">
        <v>9</v>
      </c>
      <c r="B7" s="6" t="n">
        <v>46082</v>
      </c>
      <c r="C7" s="6"/>
      <c r="D7" s="6"/>
    </row>
    <row r="8" customFormat="false" ht="18" hidden="false" customHeight="true" outlineLevel="0" collapsed="false">
      <c r="A8" s="4" t="s">
        <v>10</v>
      </c>
      <c r="B8" s="7" t="n">
        <v>850000</v>
      </c>
      <c r="C8" s="7"/>
      <c r="D8" s="7"/>
    </row>
    <row r="9" customFormat="false" ht="18" hidden="false" customHeight="true" outlineLevel="0" collapsed="false">
      <c r="A9" s="4" t="s">
        <v>11</v>
      </c>
      <c r="B9" s="8" t="n">
        <v>0.05</v>
      </c>
      <c r="C9" s="8"/>
      <c r="D9" s="8"/>
    </row>
    <row r="10" customFormat="false" ht="7.5" hidden="false" customHeight="true" outlineLevel="0" collapsed="false"/>
    <row r="11" customFormat="false" ht="30" hidden="false" customHeight="true" outlineLevel="0" collapsed="false">
      <c r="A11" s="9" t="s">
        <v>12</v>
      </c>
      <c r="B11" s="9" t="s">
        <v>13</v>
      </c>
      <c r="C11" s="9" t="s">
        <v>14</v>
      </c>
      <c r="D11" s="9" t="s">
        <v>15</v>
      </c>
      <c r="E11" s="9" t="s">
        <v>16</v>
      </c>
      <c r="F11" s="9" t="s">
        <v>17</v>
      </c>
      <c r="G11" s="9" t="s">
        <v>18</v>
      </c>
      <c r="H11" s="9" t="s">
        <v>19</v>
      </c>
      <c r="I11" s="10" t="n">
        <f aca="false">WORKDAY($B$7,0)</f>
        <v>46082</v>
      </c>
      <c r="J11" s="10" t="n">
        <f aca="false">WORKDAY($B$7,1)</f>
        <v>46083</v>
      </c>
      <c r="K11" s="10" t="n">
        <f aca="false">WORKDAY($B$7,2)</f>
        <v>46084</v>
      </c>
      <c r="L11" s="10" t="n">
        <f aca="false">WORKDAY($B$7,3)</f>
        <v>46085</v>
      </c>
      <c r="M11" s="10" t="n">
        <f aca="false">WORKDAY($B$7,4)</f>
        <v>46086</v>
      </c>
      <c r="N11" s="10" t="n">
        <f aca="false">WORKDAY($B$7,5)</f>
        <v>46087</v>
      </c>
      <c r="O11" s="10" t="n">
        <f aca="false">WORKDAY($B$7,6)</f>
        <v>46090</v>
      </c>
      <c r="P11" s="10" t="n">
        <f aca="false">WORKDAY($B$7,7)</f>
        <v>46091</v>
      </c>
      <c r="Q11" s="10" t="n">
        <f aca="false">WORKDAY($B$7,8)</f>
        <v>46092</v>
      </c>
      <c r="R11" s="10" t="n">
        <f aca="false">WORKDAY($B$7,9)</f>
        <v>46093</v>
      </c>
      <c r="S11" s="10" t="n">
        <f aca="false">WORKDAY($B$7,10)</f>
        <v>46094</v>
      </c>
      <c r="T11" s="10" t="n">
        <f aca="false">WORKDAY($B$7,11)</f>
        <v>46097</v>
      </c>
      <c r="U11" s="10" t="n">
        <f aca="false">WORKDAY($B$7,12)</f>
        <v>46098</v>
      </c>
      <c r="V11" s="10" t="n">
        <f aca="false">WORKDAY($B$7,13)</f>
        <v>46099</v>
      </c>
      <c r="W11" s="10" t="n">
        <f aca="false">WORKDAY($B$7,14)</f>
        <v>46100</v>
      </c>
      <c r="X11" s="10" t="n">
        <f aca="false">WORKDAY($B$7,15)</f>
        <v>46101</v>
      </c>
      <c r="Y11" s="10" t="n">
        <f aca="false">WORKDAY($B$7,16)</f>
        <v>46104</v>
      </c>
      <c r="Z11" s="10" t="n">
        <f aca="false">WORKDAY($B$7,17)</f>
        <v>46105</v>
      </c>
      <c r="AA11" s="10" t="n">
        <f aca="false">WORKDAY($B$7,18)</f>
        <v>46106</v>
      </c>
      <c r="AB11" s="10" t="n">
        <f aca="false">WORKDAY($B$7,19)</f>
        <v>46107</v>
      </c>
      <c r="AC11" s="10" t="n">
        <f aca="false">WORKDAY($B$7,20)</f>
        <v>46108</v>
      </c>
      <c r="AD11" s="10" t="n">
        <f aca="false">WORKDAY($B$7,21)</f>
        <v>46111</v>
      </c>
      <c r="AE11" s="10" t="n">
        <f aca="false">WORKDAY($B$7,22)</f>
        <v>46112</v>
      </c>
      <c r="AF11" s="10" t="n">
        <f aca="false">WORKDAY($B$7,23)</f>
        <v>46113</v>
      </c>
      <c r="AG11" s="10" t="n">
        <f aca="false">WORKDAY($B$7,24)</f>
        <v>46114</v>
      </c>
      <c r="AH11" s="10" t="n">
        <f aca="false">WORKDAY($B$7,25)</f>
        <v>46115</v>
      </c>
      <c r="AI11" s="10" t="n">
        <f aca="false">WORKDAY($B$7,26)</f>
        <v>46118</v>
      </c>
      <c r="AJ11" s="10" t="n">
        <f aca="false">WORKDAY($B$7,27)</f>
        <v>46119</v>
      </c>
      <c r="AK11" s="10" t="n">
        <f aca="false">WORKDAY($B$7,28)</f>
        <v>46120</v>
      </c>
      <c r="AL11" s="10" t="n">
        <f aca="false">WORKDAY($B$7,29)</f>
        <v>46121</v>
      </c>
      <c r="AM11" s="10" t="n">
        <f aca="false">WORKDAY($B$7,30)</f>
        <v>46122</v>
      </c>
      <c r="AN11" s="10" t="n">
        <f aca="false">WORKDAY($B$7,31)</f>
        <v>46125</v>
      </c>
      <c r="AO11" s="10" t="n">
        <f aca="false">WORKDAY($B$7,32)</f>
        <v>46126</v>
      </c>
      <c r="AP11" s="10" t="n">
        <f aca="false">WORKDAY($B$7,33)</f>
        <v>46127</v>
      </c>
      <c r="AQ11" s="10" t="n">
        <f aca="false">WORKDAY($B$7,34)</f>
        <v>46128</v>
      </c>
      <c r="AR11" s="10" t="n">
        <f aca="false">WORKDAY($B$7,35)</f>
        <v>46129</v>
      </c>
      <c r="AS11" s="10" t="n">
        <f aca="false">WORKDAY($B$7,36)</f>
        <v>46132</v>
      </c>
      <c r="AT11" s="10" t="n">
        <f aca="false">WORKDAY($B$7,37)</f>
        <v>46133</v>
      </c>
      <c r="AU11" s="10" t="n">
        <f aca="false">WORKDAY($B$7,38)</f>
        <v>46134</v>
      </c>
      <c r="AV11" s="10" t="n">
        <f aca="false">WORKDAY($B$7,39)</f>
        <v>46135</v>
      </c>
      <c r="AW11" s="10" t="n">
        <f aca="false">WORKDAY($B$7,40)</f>
        <v>46136</v>
      </c>
      <c r="AX11" s="10" t="n">
        <f aca="false">WORKDAY($B$7,41)</f>
        <v>46139</v>
      </c>
      <c r="AY11" s="10" t="n">
        <f aca="false">WORKDAY($B$7,42)</f>
        <v>46140</v>
      </c>
      <c r="AZ11" s="10" t="n">
        <f aca="false">WORKDAY($B$7,43)</f>
        <v>46141</v>
      </c>
      <c r="BA11" s="10" t="n">
        <f aca="false">WORKDAY($B$7,44)</f>
        <v>46142</v>
      </c>
      <c r="BB11" s="10" t="n">
        <f aca="false">WORKDAY($B$7,45)</f>
        <v>46143</v>
      </c>
      <c r="BC11" s="10" t="n">
        <f aca="false">WORKDAY($B$7,46)</f>
        <v>46146</v>
      </c>
      <c r="BD11" s="10" t="n">
        <f aca="false">WORKDAY($B$7,47)</f>
        <v>46147</v>
      </c>
      <c r="BE11" s="10" t="n">
        <f aca="false">WORKDAY($B$7,48)</f>
        <v>46148</v>
      </c>
      <c r="BF11" s="10" t="n">
        <f aca="false">WORKDAY($B$7,49)</f>
        <v>46149</v>
      </c>
      <c r="BG11" s="10" t="n">
        <f aca="false">WORKDAY($B$7,50)</f>
        <v>46150</v>
      </c>
      <c r="BH11" s="10" t="n">
        <f aca="false">WORKDAY($B$7,51)</f>
        <v>46153</v>
      </c>
      <c r="BI11" s="10" t="n">
        <f aca="false">WORKDAY($B$7,52)</f>
        <v>46154</v>
      </c>
      <c r="BJ11" s="10" t="n">
        <f aca="false">WORKDAY($B$7,53)</f>
        <v>46155</v>
      </c>
      <c r="BK11" s="10" t="n">
        <f aca="false">WORKDAY($B$7,54)</f>
        <v>46156</v>
      </c>
      <c r="BL11" s="10" t="n">
        <f aca="false">WORKDAY($B$7,55)</f>
        <v>46157</v>
      </c>
      <c r="BM11" s="10" t="n">
        <f aca="false">WORKDAY($B$7,56)</f>
        <v>46160</v>
      </c>
      <c r="BN11" s="10" t="n">
        <f aca="false">WORKDAY($B$7,57)</f>
        <v>46161</v>
      </c>
      <c r="BO11" s="10" t="n">
        <f aca="false">WORKDAY($B$7,58)</f>
        <v>46162</v>
      </c>
      <c r="BP11" s="10" t="n">
        <f aca="false">WORKDAY($B$7,59)</f>
        <v>46163</v>
      </c>
      <c r="BQ11" s="10" t="n">
        <f aca="false">WORKDAY($B$7,60)</f>
        <v>46164</v>
      </c>
      <c r="BR11" s="10" t="n">
        <f aca="false">WORKDAY($B$7,61)</f>
        <v>46167</v>
      </c>
      <c r="BS11" s="10" t="n">
        <f aca="false">WORKDAY($B$7,62)</f>
        <v>46168</v>
      </c>
      <c r="BT11" s="10" t="n">
        <f aca="false">WORKDAY($B$7,63)</f>
        <v>46169</v>
      </c>
      <c r="BU11" s="10" t="n">
        <f aca="false">WORKDAY($B$7,64)</f>
        <v>46170</v>
      </c>
      <c r="BV11" s="10" t="n">
        <f aca="false">WORKDAY($B$7,65)</f>
        <v>46171</v>
      </c>
      <c r="BW11" s="10" t="n">
        <f aca="false">WORKDAY($B$7,66)</f>
        <v>46174</v>
      </c>
      <c r="BX11" s="10" t="n">
        <f aca="false">WORKDAY($B$7,67)</f>
        <v>46175</v>
      </c>
      <c r="BY11" s="10" t="n">
        <f aca="false">WORKDAY($B$7,68)</f>
        <v>46176</v>
      </c>
      <c r="BZ11" s="10" t="n">
        <f aca="false">WORKDAY($B$7,69)</f>
        <v>46177</v>
      </c>
      <c r="CA11" s="10" t="n">
        <f aca="false">WORKDAY($B$7,70)</f>
        <v>46178</v>
      </c>
      <c r="CB11" s="10" t="n">
        <f aca="false">WORKDAY($B$7,71)</f>
        <v>46181</v>
      </c>
      <c r="CC11" s="10" t="n">
        <f aca="false">WORKDAY($B$7,72)</f>
        <v>46182</v>
      </c>
      <c r="CD11" s="10" t="n">
        <f aca="false">WORKDAY($B$7,73)</f>
        <v>46183</v>
      </c>
      <c r="CE11" s="10" t="n">
        <f aca="false">WORKDAY($B$7,74)</f>
        <v>46184</v>
      </c>
      <c r="CF11" s="10" t="n">
        <f aca="false">WORKDAY($B$7,75)</f>
        <v>46185</v>
      </c>
      <c r="CG11" s="10" t="n">
        <f aca="false">WORKDAY($B$7,76)</f>
        <v>46188</v>
      </c>
      <c r="CH11" s="10" t="n">
        <f aca="false">WORKDAY($B$7,77)</f>
        <v>46189</v>
      </c>
      <c r="CI11" s="10" t="n">
        <f aca="false">WORKDAY($B$7,78)</f>
        <v>46190</v>
      </c>
      <c r="CJ11" s="10" t="n">
        <f aca="false">WORKDAY($B$7,79)</f>
        <v>46191</v>
      </c>
      <c r="CK11" s="10" t="n">
        <f aca="false">WORKDAY($B$7,80)</f>
        <v>46192</v>
      </c>
      <c r="CL11" s="10" t="n">
        <f aca="false">WORKDAY($B$7,81)</f>
        <v>46195</v>
      </c>
      <c r="CM11" s="10" t="n">
        <f aca="false">WORKDAY($B$7,82)</f>
        <v>46196</v>
      </c>
      <c r="CN11" s="10" t="n">
        <f aca="false">WORKDAY($B$7,83)</f>
        <v>46197</v>
      </c>
      <c r="CO11" s="10" t="n">
        <f aca="false">WORKDAY($B$7,84)</f>
        <v>46198</v>
      </c>
      <c r="CP11" s="10" t="n">
        <f aca="false">WORKDAY($B$7,85)</f>
        <v>46199</v>
      </c>
      <c r="CQ11" s="10" t="n">
        <f aca="false">WORKDAY($B$7,86)</f>
        <v>46202</v>
      </c>
      <c r="CR11" s="10" t="n">
        <f aca="false">WORKDAY($B$7,87)</f>
        <v>46203</v>
      </c>
      <c r="CS11" s="10" t="n">
        <f aca="false">WORKDAY($B$7,88)</f>
        <v>46204</v>
      </c>
      <c r="CT11" s="10" t="n">
        <f aca="false">WORKDAY($B$7,89)</f>
        <v>46205</v>
      </c>
      <c r="CU11" s="10" t="n">
        <f aca="false">WORKDAY($B$7,90)</f>
        <v>46206</v>
      </c>
      <c r="CV11" s="10" t="n">
        <f aca="false">WORKDAY($B$7,91)</f>
        <v>46209</v>
      </c>
      <c r="CW11" s="10" t="n">
        <f aca="false">WORKDAY($B$7,92)</f>
        <v>46210</v>
      </c>
      <c r="CX11" s="10" t="n">
        <f aca="false">WORKDAY($B$7,93)</f>
        <v>46211</v>
      </c>
      <c r="CY11" s="10" t="n">
        <f aca="false">WORKDAY($B$7,94)</f>
        <v>46212</v>
      </c>
      <c r="CZ11" s="10" t="n">
        <f aca="false">WORKDAY($B$7,95)</f>
        <v>46213</v>
      </c>
      <c r="DA11" s="10" t="n">
        <f aca="false">WORKDAY($B$7,96)</f>
        <v>46216</v>
      </c>
      <c r="DB11" s="10" t="n">
        <f aca="false">WORKDAY($B$7,97)</f>
        <v>46217</v>
      </c>
      <c r="DC11" s="10" t="n">
        <f aca="false">WORKDAY($B$7,98)</f>
        <v>46218</v>
      </c>
      <c r="DD11" s="10" t="n">
        <f aca="false">WORKDAY($B$7,99)</f>
        <v>46219</v>
      </c>
      <c r="DE11" s="10" t="n">
        <f aca="false">WORKDAY($B$7,100)</f>
        <v>46220</v>
      </c>
      <c r="DF11" s="10" t="n">
        <f aca="false">WORKDAY($B$7,101)</f>
        <v>46223</v>
      </c>
      <c r="DG11" s="10" t="n">
        <f aca="false">WORKDAY($B$7,102)</f>
        <v>46224</v>
      </c>
      <c r="DH11" s="10" t="n">
        <f aca="false">WORKDAY($B$7,103)</f>
        <v>46225</v>
      </c>
      <c r="DI11" s="10" t="n">
        <f aca="false">WORKDAY($B$7,104)</f>
        <v>46226</v>
      </c>
      <c r="DJ11" s="10" t="n">
        <f aca="false">WORKDAY($B$7,105)</f>
        <v>46227</v>
      </c>
      <c r="DK11" s="10" t="n">
        <f aca="false">WORKDAY($B$7,106)</f>
        <v>46230</v>
      </c>
      <c r="DL11" s="10" t="n">
        <f aca="false">WORKDAY($B$7,107)</f>
        <v>46231</v>
      </c>
      <c r="DM11" s="10" t="n">
        <f aca="false">WORKDAY($B$7,108)</f>
        <v>46232</v>
      </c>
      <c r="DN11" s="10" t="n">
        <f aca="false">WORKDAY($B$7,109)</f>
        <v>46233</v>
      </c>
      <c r="DO11" s="10" t="n">
        <f aca="false">WORKDAY($B$7,110)</f>
        <v>46234</v>
      </c>
      <c r="DP11" s="10" t="n">
        <f aca="false">WORKDAY($B$7,111)</f>
        <v>46237</v>
      </c>
      <c r="DQ11" s="10" t="n">
        <f aca="false">WORKDAY($B$7,112)</f>
        <v>46238</v>
      </c>
      <c r="DR11" s="10" t="n">
        <f aca="false">WORKDAY($B$7,113)</f>
        <v>46239</v>
      </c>
      <c r="DS11" s="10" t="n">
        <f aca="false">WORKDAY($B$7,114)</f>
        <v>46240</v>
      </c>
      <c r="DT11" s="10" t="n">
        <f aca="false">WORKDAY($B$7,115)</f>
        <v>46241</v>
      </c>
      <c r="DU11" s="10" t="n">
        <f aca="false">WORKDAY($B$7,116)</f>
        <v>46244</v>
      </c>
      <c r="DV11" s="10" t="n">
        <f aca="false">WORKDAY($B$7,117)</f>
        <v>46245</v>
      </c>
      <c r="DW11" s="10" t="n">
        <f aca="false">WORKDAY($B$7,118)</f>
        <v>46246</v>
      </c>
      <c r="DX11" s="10" t="n">
        <f aca="false">WORKDAY($B$7,119)</f>
        <v>46247</v>
      </c>
      <c r="DY11" s="10" t="n">
        <f aca="false">WORKDAY($B$7,120)</f>
        <v>46248</v>
      </c>
      <c r="DZ11" s="10" t="n">
        <f aca="false">WORKDAY($B$7,121)</f>
        <v>46251</v>
      </c>
      <c r="EA11" s="10" t="n">
        <f aca="false">WORKDAY($B$7,122)</f>
        <v>46252</v>
      </c>
      <c r="EB11" s="10" t="n">
        <f aca="false">WORKDAY($B$7,123)</f>
        <v>46253</v>
      </c>
      <c r="EC11" s="10" t="n">
        <f aca="false">WORKDAY($B$7,124)</f>
        <v>46254</v>
      </c>
      <c r="ED11" s="10" t="n">
        <f aca="false">WORKDAY($B$7,125)</f>
        <v>46255</v>
      </c>
      <c r="EE11" s="10" t="n">
        <f aca="false">WORKDAY($B$7,126)</f>
        <v>46258</v>
      </c>
      <c r="EF11" s="10" t="n">
        <f aca="false">WORKDAY($B$7,127)</f>
        <v>46259</v>
      </c>
      <c r="EG11" s="10" t="n">
        <f aca="false">WORKDAY($B$7,128)</f>
        <v>46260</v>
      </c>
      <c r="EH11" s="10" t="n">
        <f aca="false">WORKDAY($B$7,129)</f>
        <v>46261</v>
      </c>
      <c r="EI11" s="10" t="n">
        <f aca="false">WORKDAY($B$7,130)</f>
        <v>46262</v>
      </c>
      <c r="EJ11" s="10" t="n">
        <f aca="false">WORKDAY($B$7,131)</f>
        <v>46265</v>
      </c>
      <c r="EK11" s="10" t="n">
        <f aca="false">WORKDAY($B$7,132)</f>
        <v>46266</v>
      </c>
      <c r="EL11" s="10" t="n">
        <f aca="false">WORKDAY($B$7,133)</f>
        <v>46267</v>
      </c>
      <c r="EM11" s="10" t="n">
        <f aca="false">WORKDAY($B$7,134)</f>
        <v>46268</v>
      </c>
      <c r="EN11" s="10" t="n">
        <f aca="false">WORKDAY($B$7,135)</f>
        <v>46269</v>
      </c>
      <c r="EO11" s="10" t="n">
        <f aca="false">WORKDAY($B$7,136)</f>
        <v>46272</v>
      </c>
      <c r="EP11" s="10" t="n">
        <f aca="false">WORKDAY($B$7,137)</f>
        <v>46273</v>
      </c>
      <c r="EQ11" s="10" t="n">
        <f aca="false">WORKDAY($B$7,138)</f>
        <v>46274</v>
      </c>
      <c r="ER11" s="10" t="n">
        <f aca="false">WORKDAY($B$7,139)</f>
        <v>46275</v>
      </c>
    </row>
    <row r="12" customFormat="false" ht="19.5" hidden="false" customHeight="true" outlineLevel="0" collapsed="false">
      <c r="A12" s="11" t="s">
        <v>20</v>
      </c>
      <c r="B12" s="11" t="s">
        <v>21</v>
      </c>
      <c r="C12" s="12"/>
      <c r="D12" s="12"/>
      <c r="E12" s="12"/>
      <c r="F12" s="12"/>
      <c r="G12" s="12"/>
      <c r="H12" s="12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</row>
    <row r="13" customFormat="false" ht="19.5" hidden="false" customHeight="true" outlineLevel="0" collapsed="false">
      <c r="A13" s="14" t="s">
        <v>22</v>
      </c>
      <c r="B13" s="15" t="s">
        <v>23</v>
      </c>
      <c r="C13" s="16" t="n">
        <f aca="false">WORKDAY($B$7,0)</f>
        <v>46082</v>
      </c>
      <c r="D13" s="17" t="n">
        <v>5</v>
      </c>
      <c r="E13" s="16" t="n">
        <f aca="false">WORKDAY(C13,D13-1)</f>
        <v>46086</v>
      </c>
      <c r="F13" s="18" t="n">
        <v>8000</v>
      </c>
      <c r="G13" s="18" t="n">
        <v>8200</v>
      </c>
      <c r="H13" s="19" t="n">
        <f aca="false">IF(G13&lt;&gt;"",G13-F13,"")</f>
        <v>200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</row>
    <row r="14" customFormat="false" ht="19.5" hidden="false" customHeight="true" outlineLevel="0" collapsed="false">
      <c r="A14" s="21" t="s">
        <v>24</v>
      </c>
      <c r="B14" s="22" t="s">
        <v>25</v>
      </c>
      <c r="C14" s="23" t="n">
        <f aca="false">WORKDAY($B$7,5)</f>
        <v>46087</v>
      </c>
      <c r="D14" s="17" t="n">
        <v>3</v>
      </c>
      <c r="E14" s="23" t="n">
        <f aca="false">WORKDAY(C14,D14-1)</f>
        <v>46091</v>
      </c>
      <c r="F14" s="18" t="n">
        <v>3500</v>
      </c>
      <c r="G14" s="18" t="n">
        <v>3500</v>
      </c>
      <c r="H14" s="24" t="n">
        <f aca="false">IF(G14&lt;&gt;"",G14-F14,"")</f>
        <v>0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</row>
    <row r="15" customFormat="false" ht="19.5" hidden="false" customHeight="true" outlineLevel="0" collapsed="false">
      <c r="A15" s="11" t="s">
        <v>26</v>
      </c>
      <c r="B15" s="11" t="s">
        <v>27</v>
      </c>
      <c r="C15" s="12"/>
      <c r="D15" s="12"/>
      <c r="E15" s="12"/>
      <c r="F15" s="12"/>
      <c r="G15" s="12"/>
      <c r="H15" s="12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</row>
    <row r="16" customFormat="false" ht="19.5" hidden="false" customHeight="true" outlineLevel="0" collapsed="false">
      <c r="A16" s="21" t="s">
        <v>28</v>
      </c>
      <c r="B16" s="22" t="s">
        <v>29</v>
      </c>
      <c r="C16" s="23" t="n">
        <f aca="false">WORKDAY($B$7,8)</f>
        <v>46092</v>
      </c>
      <c r="D16" s="17" t="n">
        <v>8</v>
      </c>
      <c r="E16" s="23" t="n">
        <f aca="false">WORKDAY(C16,D16-1)</f>
        <v>46101</v>
      </c>
      <c r="F16" s="18" t="n">
        <v>22000</v>
      </c>
      <c r="G16" s="18" t="n">
        <v>23500</v>
      </c>
      <c r="H16" s="24" t="n">
        <f aca="false">IF(G16&lt;&gt;"",G16-F16,"")</f>
        <v>1500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</row>
    <row r="17" customFormat="false" ht="19.5" hidden="false" customHeight="true" outlineLevel="0" collapsed="false">
      <c r="A17" s="14" t="s">
        <v>30</v>
      </c>
      <c r="B17" s="15" t="s">
        <v>31</v>
      </c>
      <c r="C17" s="16" t="n">
        <f aca="false">WORKDAY($B$7,10)</f>
        <v>46094</v>
      </c>
      <c r="D17" s="17" t="n">
        <v>5</v>
      </c>
      <c r="E17" s="16" t="n">
        <f aca="false">WORKDAY(C17,D17-1)</f>
        <v>46100</v>
      </c>
      <c r="F17" s="18" t="n">
        <v>9500</v>
      </c>
      <c r="G17" s="18" t="n">
        <v>9800</v>
      </c>
      <c r="H17" s="19" t="n">
        <f aca="false">IF(G17&lt;&gt;"",G17-F17,"")</f>
        <v>300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</row>
    <row r="18" customFormat="false" ht="19.5" hidden="false" customHeight="true" outlineLevel="0" collapsed="false">
      <c r="A18" s="21" t="s">
        <v>32</v>
      </c>
      <c r="B18" s="22" t="s">
        <v>33</v>
      </c>
      <c r="C18" s="23" t="n">
        <f aca="false">WORKDAY($B$7,15)</f>
        <v>46101</v>
      </c>
      <c r="D18" s="17" t="n">
        <v>4</v>
      </c>
      <c r="E18" s="23" t="n">
        <f aca="false">WORKDAY(C18,D18-1)</f>
        <v>46106</v>
      </c>
      <c r="F18" s="18" t="n">
        <v>7800</v>
      </c>
      <c r="G18" s="18" t="n">
        <v>7800</v>
      </c>
      <c r="H18" s="24" t="n">
        <f aca="false">IF(G18&lt;&gt;"",G18-F18,"")</f>
        <v>0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</row>
    <row r="19" customFormat="false" ht="19.5" hidden="false" customHeight="true" outlineLevel="0" collapsed="false">
      <c r="A19" s="11" t="s">
        <v>34</v>
      </c>
      <c r="B19" s="11" t="s">
        <v>35</v>
      </c>
      <c r="C19" s="12"/>
      <c r="D19" s="12"/>
      <c r="E19" s="12"/>
      <c r="F19" s="12"/>
      <c r="G19" s="12"/>
      <c r="H19" s="12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</row>
    <row r="20" customFormat="false" ht="19.5" hidden="false" customHeight="true" outlineLevel="0" collapsed="false">
      <c r="A20" s="21" t="s">
        <v>36</v>
      </c>
      <c r="B20" s="22" t="s">
        <v>37</v>
      </c>
      <c r="C20" s="23" t="n">
        <f aca="false">WORKDAY($B$7,19)</f>
        <v>46107</v>
      </c>
      <c r="D20" s="17" t="n">
        <v>2</v>
      </c>
      <c r="E20" s="23" t="n">
        <f aca="false">WORKDAY(C20,D20-1)</f>
        <v>46108</v>
      </c>
      <c r="F20" s="18" t="n">
        <v>4200</v>
      </c>
      <c r="G20" s="18" t="n">
        <v>4100</v>
      </c>
      <c r="H20" s="24" t="n">
        <f aca="false">IF(G20&lt;&gt;"",G20-F20,"")</f>
        <v>-100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</row>
    <row r="21" customFormat="false" ht="19.5" hidden="false" customHeight="true" outlineLevel="0" collapsed="false">
      <c r="A21" s="14" t="s">
        <v>38</v>
      </c>
      <c r="B21" s="15" t="s">
        <v>39</v>
      </c>
      <c r="C21" s="16" t="n">
        <f aca="false">WORKDAY($B$7,21)</f>
        <v>46111</v>
      </c>
      <c r="D21" s="17" t="n">
        <v>6</v>
      </c>
      <c r="E21" s="16" t="n">
        <f aca="false">WORKDAY(C21,D21-1)</f>
        <v>46118</v>
      </c>
      <c r="F21" s="18" t="n">
        <v>38000</v>
      </c>
      <c r="G21" s="18" t="n">
        <v>39200</v>
      </c>
      <c r="H21" s="19" t="n">
        <f aca="false">IF(G21&lt;&gt;"",G21-F21,"")</f>
        <v>1200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</row>
    <row r="22" customFormat="false" ht="19.5" hidden="false" customHeight="true" outlineLevel="0" collapsed="false">
      <c r="A22" s="21" t="s">
        <v>40</v>
      </c>
      <c r="B22" s="22" t="s">
        <v>41</v>
      </c>
      <c r="C22" s="23" t="n">
        <f aca="false">WORKDAY($B$7,26)</f>
        <v>46118</v>
      </c>
      <c r="D22" s="17" t="n">
        <v>4</v>
      </c>
      <c r="E22" s="23" t="n">
        <f aca="false">WORKDAY(C22,D22-1)</f>
        <v>46121</v>
      </c>
      <c r="F22" s="18" t="n">
        <v>15500</v>
      </c>
      <c r="G22" s="18" t="n">
        <v>15500</v>
      </c>
      <c r="H22" s="24" t="n">
        <f aca="false">IF(G22&lt;&gt;"",G22-F22,"")</f>
        <v>0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</row>
    <row r="23" customFormat="false" ht="19.5" hidden="false" customHeight="true" outlineLevel="0" collapsed="false">
      <c r="A23" s="11" t="s">
        <v>42</v>
      </c>
      <c r="B23" s="11" t="s">
        <v>43</v>
      </c>
      <c r="C23" s="12"/>
      <c r="D23" s="12"/>
      <c r="E23" s="12"/>
      <c r="F23" s="12"/>
      <c r="G23" s="12"/>
      <c r="H23" s="12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</row>
    <row r="24" customFormat="false" ht="19.5" hidden="false" customHeight="true" outlineLevel="0" collapsed="false">
      <c r="A24" s="21" t="s">
        <v>44</v>
      </c>
      <c r="B24" s="22" t="s">
        <v>45</v>
      </c>
      <c r="C24" s="23" t="n">
        <f aca="false">WORKDAY($B$7,30)</f>
        <v>46122</v>
      </c>
      <c r="D24" s="17" t="n">
        <v>10</v>
      </c>
      <c r="E24" s="23" t="n">
        <f aca="false">WORKDAY(C24,D24-1)</f>
        <v>46135</v>
      </c>
      <c r="F24" s="18" t="n">
        <v>62000</v>
      </c>
      <c r="G24" s="18" t="n">
        <v>64000</v>
      </c>
      <c r="H24" s="24" t="n">
        <f aca="false">IF(G24&lt;&gt;"",G24-F24,"")</f>
        <v>2000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</row>
    <row r="25" customFormat="false" ht="19.5" hidden="false" customHeight="true" outlineLevel="0" collapsed="false">
      <c r="A25" s="14" t="s">
        <v>46</v>
      </c>
      <c r="B25" s="15" t="s">
        <v>47</v>
      </c>
      <c r="C25" s="16" t="n">
        <f aca="false">WORKDAY($B$7,40)</f>
        <v>46136</v>
      </c>
      <c r="D25" s="17" t="n">
        <v>6</v>
      </c>
      <c r="E25" s="16" t="n">
        <f aca="false">WORKDAY(C25,D25-1)</f>
        <v>46143</v>
      </c>
      <c r="F25" s="18" t="n">
        <v>41000</v>
      </c>
      <c r="G25" s="18" t="n">
        <v>41500</v>
      </c>
      <c r="H25" s="19" t="n">
        <f aca="false">IF(G25&lt;&gt;"",G25-F25,"")</f>
        <v>500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</row>
    <row r="26" customFormat="false" ht="19.5" hidden="false" customHeight="true" outlineLevel="0" collapsed="false">
      <c r="A26" s="21" t="s">
        <v>48</v>
      </c>
      <c r="B26" s="22" t="s">
        <v>49</v>
      </c>
      <c r="C26" s="23" t="n">
        <f aca="false">WORKDAY($B$7,46)</f>
        <v>46146</v>
      </c>
      <c r="D26" s="17" t="n">
        <v>10</v>
      </c>
      <c r="E26" s="23" t="n">
        <f aca="false">WORKDAY(C26,D26-1)</f>
        <v>46157</v>
      </c>
      <c r="F26" s="18" t="n">
        <v>58000</v>
      </c>
      <c r="G26" s="18" t="n">
        <v>0</v>
      </c>
      <c r="H26" s="24" t="n">
        <f aca="false">IF(G26&lt;&gt;"",G26-F26,"")</f>
        <v>-58000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</row>
    <row r="27" customFormat="false" ht="19.5" hidden="false" customHeight="true" outlineLevel="0" collapsed="false">
      <c r="A27" s="14" t="s">
        <v>50</v>
      </c>
      <c r="B27" s="15" t="s">
        <v>51</v>
      </c>
      <c r="C27" s="16" t="n">
        <f aca="false">WORKDAY($B$7,56)</f>
        <v>46160</v>
      </c>
      <c r="D27" s="17" t="n">
        <v>6</v>
      </c>
      <c r="E27" s="16" t="n">
        <f aca="false">WORKDAY(C27,D27-1)</f>
        <v>46167</v>
      </c>
      <c r="F27" s="18" t="n">
        <v>39000</v>
      </c>
      <c r="G27" s="18" t="n">
        <v>0</v>
      </c>
      <c r="H27" s="19" t="n">
        <f aca="false">IF(G27&lt;&gt;"",G27-F27,"")</f>
        <v>-39000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</row>
    <row r="28" customFormat="false" ht="19.5" hidden="false" customHeight="true" outlineLevel="0" collapsed="false">
      <c r="A28" s="11" t="s">
        <v>52</v>
      </c>
      <c r="B28" s="11" t="s">
        <v>53</v>
      </c>
      <c r="C28" s="12"/>
      <c r="D28" s="12"/>
      <c r="E28" s="12"/>
      <c r="F28" s="12"/>
      <c r="G28" s="12"/>
      <c r="H28" s="12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</row>
    <row r="29" customFormat="false" ht="19.5" hidden="false" customHeight="true" outlineLevel="0" collapsed="false">
      <c r="A29" s="14" t="s">
        <v>54</v>
      </c>
      <c r="B29" s="15" t="s">
        <v>55</v>
      </c>
      <c r="C29" s="16" t="n">
        <f aca="false">WORKDAY($B$7,62)</f>
        <v>46168</v>
      </c>
      <c r="D29" s="17" t="n">
        <v>8</v>
      </c>
      <c r="E29" s="16" t="n">
        <f aca="false">WORKDAY(C29,D29-1)</f>
        <v>46177</v>
      </c>
      <c r="F29" s="18" t="n">
        <v>34000</v>
      </c>
      <c r="G29" s="18"/>
      <c r="H29" s="19" t="str">
        <f aca="false">IF(G29&lt;&gt;"",G29-F29,"")</f>
        <v/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</row>
    <row r="30" customFormat="false" ht="19.5" hidden="false" customHeight="true" outlineLevel="0" collapsed="false">
      <c r="A30" s="21" t="s">
        <v>56</v>
      </c>
      <c r="B30" s="22" t="s">
        <v>57</v>
      </c>
      <c r="C30" s="23" t="n">
        <f aca="false">WORKDAY($B$7,70)</f>
        <v>46178</v>
      </c>
      <c r="D30" s="17" t="n">
        <v>6</v>
      </c>
      <c r="E30" s="23" t="n">
        <f aca="false">WORKDAY(C30,D30-1)</f>
        <v>46185</v>
      </c>
      <c r="F30" s="18" t="n">
        <v>28000</v>
      </c>
      <c r="G30" s="18"/>
      <c r="H30" s="24" t="str">
        <f aca="false">IF(G30&lt;&gt;"",G30-F30,"")</f>
        <v/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</row>
    <row r="31" customFormat="false" ht="19.5" hidden="false" customHeight="true" outlineLevel="0" collapsed="false">
      <c r="A31" s="14" t="s">
        <v>58</v>
      </c>
      <c r="B31" s="15" t="s">
        <v>59</v>
      </c>
      <c r="C31" s="16" t="n">
        <f aca="false">WORKDAY($B$7,76)</f>
        <v>46188</v>
      </c>
      <c r="D31" s="17" t="n">
        <v>4</v>
      </c>
      <c r="E31" s="16" t="n">
        <f aca="false">WORKDAY(C31,D31-1)</f>
        <v>46191</v>
      </c>
      <c r="F31" s="18" t="n">
        <v>9800</v>
      </c>
      <c r="G31" s="18"/>
      <c r="H31" s="19" t="str">
        <f aca="false">IF(G31&lt;&gt;"",G31-F31,"")</f>
        <v/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</row>
    <row r="32" customFormat="false" ht="19.5" hidden="false" customHeight="true" outlineLevel="0" collapsed="false">
      <c r="A32" s="11" t="s">
        <v>60</v>
      </c>
      <c r="B32" s="11" t="s">
        <v>61</v>
      </c>
      <c r="C32" s="12"/>
      <c r="D32" s="12"/>
      <c r="E32" s="12"/>
      <c r="F32" s="12"/>
      <c r="G32" s="12"/>
      <c r="H32" s="12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</row>
    <row r="33" customFormat="false" ht="19.5" hidden="false" customHeight="true" outlineLevel="0" collapsed="false">
      <c r="A33" s="14" t="s">
        <v>62</v>
      </c>
      <c r="B33" s="15" t="s">
        <v>63</v>
      </c>
      <c r="C33" s="16" t="n">
        <f aca="false">WORKDAY($B$7,80)</f>
        <v>46192</v>
      </c>
      <c r="D33" s="17" t="n">
        <v>10</v>
      </c>
      <c r="E33" s="16" t="n">
        <f aca="false">WORKDAY(C33,D33-1)</f>
        <v>46205</v>
      </c>
      <c r="F33" s="18" t="n">
        <v>45000</v>
      </c>
      <c r="G33" s="18"/>
      <c r="H33" s="19" t="str">
        <f aca="false">IF(G33&lt;&gt;"",G33-F33,"")</f>
        <v/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</row>
    <row r="34" customFormat="false" ht="19.5" hidden="false" customHeight="true" outlineLevel="0" collapsed="false">
      <c r="A34" s="21" t="s">
        <v>64</v>
      </c>
      <c r="B34" s="22" t="s">
        <v>65</v>
      </c>
      <c r="C34" s="23" t="n">
        <f aca="false">WORKDAY($B$7,82)</f>
        <v>46196</v>
      </c>
      <c r="D34" s="17" t="n">
        <v>12</v>
      </c>
      <c r="E34" s="23" t="n">
        <f aca="false">WORKDAY(C34,D34-1)</f>
        <v>46211</v>
      </c>
      <c r="F34" s="18" t="n">
        <v>52000</v>
      </c>
      <c r="G34" s="18"/>
      <c r="H34" s="24" t="str">
        <f aca="false">IF(G34&lt;&gt;"",G34-F34,"")</f>
        <v/>
      </c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</row>
    <row r="35" customFormat="false" ht="19.5" hidden="false" customHeight="true" outlineLevel="0" collapsed="false">
      <c r="A35" s="14" t="s">
        <v>66</v>
      </c>
      <c r="B35" s="15" t="s">
        <v>67</v>
      </c>
      <c r="C35" s="16" t="n">
        <f aca="false">WORKDAY($B$7,90)</f>
        <v>46206</v>
      </c>
      <c r="D35" s="17" t="n">
        <v>8</v>
      </c>
      <c r="E35" s="16" t="n">
        <f aca="false">WORKDAY(C35,D35-1)</f>
        <v>46217</v>
      </c>
      <c r="F35" s="18" t="n">
        <v>31000</v>
      </c>
      <c r="G35" s="18"/>
      <c r="H35" s="19" t="str">
        <f aca="false">IF(G35&lt;&gt;"",G35-F35,"")</f>
        <v/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</row>
    <row r="36" customFormat="false" ht="19.5" hidden="false" customHeight="true" outlineLevel="0" collapsed="false">
      <c r="A36" s="11" t="s">
        <v>68</v>
      </c>
      <c r="B36" s="11" t="s">
        <v>69</v>
      </c>
      <c r="C36" s="12"/>
      <c r="D36" s="12"/>
      <c r="E36" s="12"/>
      <c r="F36" s="12"/>
      <c r="G36" s="12"/>
      <c r="H36" s="12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</row>
    <row r="37" customFormat="false" ht="19.5" hidden="false" customHeight="true" outlineLevel="0" collapsed="false">
      <c r="A37" s="14" t="s">
        <v>70</v>
      </c>
      <c r="B37" s="15" t="s">
        <v>71</v>
      </c>
      <c r="C37" s="16" t="n">
        <f aca="false">WORKDAY($B$7,98)</f>
        <v>46218</v>
      </c>
      <c r="D37" s="17" t="n">
        <v>5</v>
      </c>
      <c r="E37" s="16" t="n">
        <f aca="false">WORKDAY(C37,D37-1)</f>
        <v>46224</v>
      </c>
      <c r="F37" s="18" t="n">
        <v>18500</v>
      </c>
      <c r="G37" s="18"/>
      <c r="H37" s="19" t="str">
        <f aca="false">IF(G37&lt;&gt;"",G37-F37,"")</f>
        <v/>
      </c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</row>
    <row r="38" customFormat="false" ht="19.5" hidden="false" customHeight="true" outlineLevel="0" collapsed="false">
      <c r="A38" s="21" t="s">
        <v>72</v>
      </c>
      <c r="B38" s="22" t="s">
        <v>73</v>
      </c>
      <c r="C38" s="23" t="n">
        <f aca="false">WORKDAY($B$7,100)</f>
        <v>46220</v>
      </c>
      <c r="D38" s="17" t="n">
        <v>10</v>
      </c>
      <c r="E38" s="23" t="n">
        <f aca="false">WORKDAY(C38,D38-1)</f>
        <v>46233</v>
      </c>
      <c r="F38" s="18" t="n">
        <v>35000</v>
      </c>
      <c r="G38" s="18"/>
      <c r="H38" s="24" t="str">
        <f aca="false">IF(G38&lt;&gt;"",G38-F38,"")</f>
        <v/>
      </c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</row>
    <row r="39" customFormat="false" ht="19.5" hidden="false" customHeight="true" outlineLevel="0" collapsed="false">
      <c r="A39" s="14" t="s">
        <v>74</v>
      </c>
      <c r="B39" s="15" t="s">
        <v>75</v>
      </c>
      <c r="C39" s="16" t="n">
        <f aca="false">WORKDAY($B$7,110)</f>
        <v>46234</v>
      </c>
      <c r="D39" s="17" t="n">
        <v>8</v>
      </c>
      <c r="E39" s="16" t="n">
        <f aca="false">WORKDAY(C39,D39-1)</f>
        <v>46245</v>
      </c>
      <c r="F39" s="18" t="n">
        <v>29000</v>
      </c>
      <c r="G39" s="18"/>
      <c r="H39" s="19" t="str">
        <f aca="false">IF(G39&lt;&gt;"",G39-F39,"")</f>
        <v/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</row>
    <row r="40" customFormat="false" ht="19.5" hidden="false" customHeight="true" outlineLevel="0" collapsed="false">
      <c r="A40" s="21" t="s">
        <v>76</v>
      </c>
      <c r="B40" s="22" t="s">
        <v>77</v>
      </c>
      <c r="C40" s="23" t="n">
        <f aca="false">WORKDAY($B$7,118)</f>
        <v>46246</v>
      </c>
      <c r="D40" s="17" t="n">
        <v>7</v>
      </c>
      <c r="E40" s="23" t="n">
        <f aca="false">WORKDAY(C40,D40-1)</f>
        <v>46254</v>
      </c>
      <c r="F40" s="18" t="n">
        <v>22000</v>
      </c>
      <c r="G40" s="18"/>
      <c r="H40" s="24" t="str">
        <f aca="false">IF(G40&lt;&gt;"",G40-F40,"")</f>
        <v/>
      </c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</row>
    <row r="41" customFormat="false" ht="19.5" hidden="false" customHeight="true" outlineLevel="0" collapsed="false">
      <c r="A41" s="11" t="s">
        <v>78</v>
      </c>
      <c r="B41" s="11" t="s">
        <v>79</v>
      </c>
      <c r="C41" s="12"/>
      <c r="D41" s="12"/>
      <c r="E41" s="12"/>
      <c r="F41" s="12"/>
      <c r="G41" s="12"/>
      <c r="H41" s="12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</row>
    <row r="42" customFormat="false" ht="19.5" hidden="false" customHeight="true" outlineLevel="0" collapsed="false">
      <c r="A42" s="21" t="s">
        <v>80</v>
      </c>
      <c r="B42" s="22" t="s">
        <v>81</v>
      </c>
      <c r="C42" s="23" t="n">
        <f aca="false">WORKDAY($B$7,125)</f>
        <v>46255</v>
      </c>
      <c r="D42" s="17" t="n">
        <v>8</v>
      </c>
      <c r="E42" s="23" t="n">
        <f aca="false">WORKDAY(C42,D42-1)</f>
        <v>46266</v>
      </c>
      <c r="F42" s="18" t="n">
        <v>19000</v>
      </c>
      <c r="G42" s="18"/>
      <c r="H42" s="24" t="str">
        <f aca="false">IF(G42&lt;&gt;"",G42-F42,"")</f>
        <v/>
      </c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</row>
    <row r="43" customFormat="false" ht="19.5" hidden="false" customHeight="true" outlineLevel="0" collapsed="false">
      <c r="A43" s="14" t="s">
        <v>82</v>
      </c>
      <c r="B43" s="15" t="s">
        <v>83</v>
      </c>
      <c r="C43" s="16" t="n">
        <f aca="false">WORKDAY($B$7,133)</f>
        <v>46267</v>
      </c>
      <c r="D43" s="17" t="n">
        <v>3</v>
      </c>
      <c r="E43" s="16" t="n">
        <f aca="false">WORKDAY(C43,D43-1)</f>
        <v>46269</v>
      </c>
      <c r="F43" s="18" t="n">
        <v>5000</v>
      </c>
      <c r="G43" s="18"/>
      <c r="H43" s="19" t="str">
        <f aca="false">IF(G43&lt;&gt;"",G43-F43,"")</f>
        <v/>
      </c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</row>
    <row r="44" customFormat="false" ht="21.75" hidden="false" customHeight="true" outlineLevel="0" collapsed="false">
      <c r="A44" s="26" t="s">
        <v>84</v>
      </c>
      <c r="B44" s="26"/>
      <c r="C44" s="26"/>
      <c r="D44" s="26"/>
      <c r="E44" s="26"/>
      <c r="F44" s="27" t="n">
        <f aca="false">SUMIF(A12:A43,"?*.*",F12:F43)</f>
        <v>636800</v>
      </c>
      <c r="G44" s="27" t="n">
        <f aca="false">SUMIF(A12:A43,"?*.*",G12:G43)</f>
        <v>217100</v>
      </c>
      <c r="H44" s="27" t="n">
        <f aca="false">IF(G44&lt;&gt;"",G44-F44,"")</f>
        <v>-419700</v>
      </c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</row>
    <row r="46" customFormat="false" ht="15" hidden="false" customHeight="true" outlineLevel="0" collapsed="false">
      <c r="A46" s="3" t="s">
        <v>85</v>
      </c>
      <c r="B46" s="3"/>
      <c r="C46" s="3"/>
      <c r="D46" s="3"/>
      <c r="E46" s="3"/>
      <c r="F46" s="3"/>
      <c r="G46" s="3"/>
      <c r="H46" s="3"/>
    </row>
    <row r="47" customFormat="false" ht="15.75" hidden="false" customHeight="true" outlineLevel="0" collapsed="false">
      <c r="A47" s="29" t="s">
        <v>86</v>
      </c>
      <c r="B47" s="29"/>
      <c r="C47" s="29"/>
      <c r="D47" s="29"/>
      <c r="E47" s="29"/>
      <c r="F47" s="29"/>
      <c r="G47" s="29"/>
      <c r="H47" s="29"/>
    </row>
    <row r="48" customFormat="false" ht="15.75" hidden="false" customHeight="true" outlineLevel="0" collapsed="false">
      <c r="A48" s="30" t="s">
        <v>87</v>
      </c>
      <c r="B48" s="30"/>
      <c r="C48" s="30"/>
      <c r="D48" s="30"/>
      <c r="E48" s="30"/>
      <c r="F48" s="30"/>
      <c r="G48" s="30"/>
      <c r="H48" s="30"/>
    </row>
    <row r="49" customFormat="false" ht="15.75" hidden="false" customHeight="true" outlineLevel="0" collapsed="false">
      <c r="A49" s="31" t="s">
        <v>88</v>
      </c>
      <c r="B49" s="31"/>
      <c r="C49" s="31"/>
      <c r="D49" s="31"/>
      <c r="E49" s="31"/>
      <c r="F49" s="31"/>
      <c r="G49" s="31"/>
      <c r="H49" s="31"/>
    </row>
    <row r="50" customFormat="false" ht="15.75" hidden="false" customHeight="true" outlineLevel="0" collapsed="false">
      <c r="A50" s="32" t="s">
        <v>89</v>
      </c>
      <c r="B50" s="32"/>
      <c r="C50" s="32"/>
      <c r="D50" s="32"/>
      <c r="E50" s="32"/>
      <c r="F50" s="32"/>
      <c r="G50" s="32"/>
      <c r="H50" s="32"/>
    </row>
  </sheetData>
  <mergeCells count="15">
    <mergeCell ref="A1:H1"/>
    <mergeCell ref="A2:H2"/>
    <mergeCell ref="A3:H3"/>
    <mergeCell ref="B4:D4"/>
    <mergeCell ref="B5:D5"/>
    <mergeCell ref="B6:D6"/>
    <mergeCell ref="B7:D7"/>
    <mergeCell ref="B8:D8"/>
    <mergeCell ref="B9:D9"/>
    <mergeCell ref="A44:E44"/>
    <mergeCell ref="A46:H46"/>
    <mergeCell ref="A47:H47"/>
    <mergeCell ref="A48:H48"/>
    <mergeCell ref="A49:H49"/>
    <mergeCell ref="A50:H50"/>
  </mergeCells>
  <conditionalFormatting sqref="I12:ER43">
    <cfRule type="expression" priority="2" aboveAverage="0" equalAverage="0" bottom="0" percent="0" rank="0" text="" dxfId="0">
      <formula>AND(I$11&gt;=$C12,I$11&lt;=$E12)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14" min="2" style="0" width="11"/>
  </cols>
  <sheetData>
    <row r="1" customFormat="false" ht="27.75" hidden="false" customHeight="true" outlineLevel="0" collapsed="false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8" hidden="false" customHeight="true" outlineLevel="0" collapsed="false">
      <c r="A2" s="2" t="s">
        <v>91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customFormat="false" ht="21.75" hidden="false" customHeight="true" outlineLevel="0" collapsed="false">
      <c r="A4" s="9" t="s">
        <v>92</v>
      </c>
      <c r="B4" s="9" t="s">
        <v>93</v>
      </c>
      <c r="C4" s="9" t="s">
        <v>94</v>
      </c>
      <c r="D4" s="9" t="s">
        <v>95</v>
      </c>
      <c r="E4" s="9" t="s">
        <v>96</v>
      </c>
      <c r="F4" s="9" t="s">
        <v>97</v>
      </c>
      <c r="G4" s="9" t="s">
        <v>98</v>
      </c>
      <c r="H4" s="9" t="s">
        <v>99</v>
      </c>
      <c r="I4" s="9" t="s">
        <v>100</v>
      </c>
      <c r="J4" s="9" t="s">
        <v>101</v>
      </c>
      <c r="K4" s="9" t="s">
        <v>102</v>
      </c>
      <c r="L4" s="9" t="s">
        <v>103</v>
      </c>
      <c r="M4" s="9" t="s">
        <v>104</v>
      </c>
      <c r="N4" s="9" t="s">
        <v>105</v>
      </c>
    </row>
    <row r="5" customFormat="false" ht="19.5" hidden="false" customHeight="true" outlineLevel="0" collapsed="false">
      <c r="A5" s="11" t="s">
        <v>106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customFormat="false" ht="19.5" hidden="false" customHeight="true" outlineLevel="0" collapsed="false">
      <c r="A6" s="34" t="s">
        <v>107</v>
      </c>
      <c r="B6" s="18" t="n">
        <v>45000</v>
      </c>
      <c r="C6" s="18" t="n">
        <v>55000</v>
      </c>
      <c r="D6" s="18" t="n">
        <v>60000</v>
      </c>
      <c r="E6" s="18" t="n">
        <v>70000</v>
      </c>
      <c r="F6" s="18" t="n">
        <v>75000</v>
      </c>
      <c r="G6" s="18" t="n">
        <v>80000</v>
      </c>
      <c r="H6" s="18" t="n">
        <v>72000</v>
      </c>
      <c r="I6" s="18" t="n">
        <v>65000</v>
      </c>
      <c r="J6" s="18" t="n">
        <v>60000</v>
      </c>
      <c r="K6" s="18" t="n">
        <v>55000</v>
      </c>
      <c r="L6" s="18" t="n">
        <v>40000</v>
      </c>
      <c r="M6" s="18" t="n">
        <v>30000</v>
      </c>
      <c r="O6" s="35" t="n">
        <f aca="false">SUM(B6:N6)</f>
        <v>707000</v>
      </c>
    </row>
    <row r="7" customFormat="false" ht="19.5" hidden="false" customHeight="true" outlineLevel="0" collapsed="false">
      <c r="A7" s="36" t="s">
        <v>108</v>
      </c>
      <c r="B7" s="18" t="n">
        <v>0</v>
      </c>
      <c r="C7" s="18" t="n">
        <v>0</v>
      </c>
      <c r="D7" s="18" t="n">
        <v>0</v>
      </c>
      <c r="E7" s="18" t="n">
        <v>0</v>
      </c>
      <c r="F7" s="18" t="n">
        <v>0</v>
      </c>
      <c r="G7" s="18" t="n">
        <v>0</v>
      </c>
      <c r="H7" s="18" t="n">
        <v>0</v>
      </c>
      <c r="I7" s="18" t="n">
        <v>0</v>
      </c>
      <c r="J7" s="18" t="n">
        <v>0</v>
      </c>
      <c r="K7" s="18" t="n">
        <v>0</v>
      </c>
      <c r="L7" s="18" t="n">
        <v>0</v>
      </c>
      <c r="M7" s="18" t="n">
        <v>180000</v>
      </c>
      <c r="O7" s="35" t="n">
        <f aca="false">SUM(B7:N7)</f>
        <v>180000</v>
      </c>
    </row>
    <row r="8" customFormat="false" ht="19.5" hidden="false" customHeight="true" outlineLevel="0" collapsed="false">
      <c r="A8" s="37" t="s">
        <v>109</v>
      </c>
      <c r="B8" s="38" t="n">
        <f aca="false">B6+B7</f>
        <v>45000</v>
      </c>
      <c r="C8" s="38" t="n">
        <f aca="false">C6+C7</f>
        <v>55000</v>
      </c>
      <c r="D8" s="38" t="n">
        <f aca="false">D6+D7</f>
        <v>60000</v>
      </c>
      <c r="E8" s="38" t="n">
        <f aca="false">E6+E7</f>
        <v>70000</v>
      </c>
      <c r="F8" s="38" t="n">
        <f aca="false">F6+F7</f>
        <v>75000</v>
      </c>
      <c r="G8" s="38" t="n">
        <f aca="false">G6+G7</f>
        <v>80000</v>
      </c>
      <c r="H8" s="38" t="n">
        <f aca="false">H6+H7</f>
        <v>72000</v>
      </c>
      <c r="I8" s="38" t="n">
        <f aca="false">I6+I7</f>
        <v>65000</v>
      </c>
      <c r="J8" s="38" t="n">
        <f aca="false">J6+J7</f>
        <v>60000</v>
      </c>
      <c r="K8" s="38" t="n">
        <f aca="false">K6+K7</f>
        <v>55000</v>
      </c>
      <c r="L8" s="38" t="n">
        <f aca="false">L6+L7</f>
        <v>40000</v>
      </c>
      <c r="M8" s="38" t="n">
        <f aca="false">M6+M7</f>
        <v>210000</v>
      </c>
      <c r="O8" s="38" t="n">
        <f aca="false">SUM(B8:N8)</f>
        <v>887000</v>
      </c>
    </row>
    <row r="9" customFormat="false" ht="7.5" hidden="false" customHeight="true" outlineLevel="0" collapsed="false"/>
    <row r="10" customFormat="false" ht="19.5" hidden="false" customHeight="true" outlineLevel="0" collapsed="false">
      <c r="A10" s="11" t="s">
        <v>110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customFormat="false" ht="19.5" hidden="false" customHeight="true" outlineLevel="0" collapsed="false">
      <c r="A11" s="36" t="s">
        <v>111</v>
      </c>
      <c r="B11" s="18" t="n">
        <v>18000</v>
      </c>
      <c r="C11" s="18" t="n">
        <v>22000</v>
      </c>
      <c r="D11" s="18" t="n">
        <v>28000</v>
      </c>
      <c r="E11" s="18" t="n">
        <v>35000</v>
      </c>
      <c r="F11" s="18" t="n">
        <v>42000</v>
      </c>
      <c r="G11" s="18" t="n">
        <v>38000</v>
      </c>
      <c r="H11" s="18" t="n">
        <v>30000</v>
      </c>
      <c r="I11" s="18" t="n">
        <v>25000</v>
      </c>
      <c r="J11" s="18" t="n">
        <v>20000</v>
      </c>
      <c r="K11" s="18" t="n">
        <v>15000</v>
      </c>
      <c r="L11" s="18" t="n">
        <v>10000</v>
      </c>
      <c r="M11" s="18" t="n">
        <v>8000</v>
      </c>
      <c r="O11" s="35" t="n">
        <f aca="false">SUM(B11:N11)</f>
        <v>291000</v>
      </c>
    </row>
    <row r="12" customFormat="false" ht="19.5" hidden="false" customHeight="true" outlineLevel="0" collapsed="false">
      <c r="A12" s="34" t="s">
        <v>112</v>
      </c>
      <c r="B12" s="18" t="n">
        <v>22000</v>
      </c>
      <c r="C12" s="18" t="n">
        <v>25000</v>
      </c>
      <c r="D12" s="18" t="n">
        <v>28000</v>
      </c>
      <c r="E12" s="18" t="n">
        <v>30000</v>
      </c>
      <c r="F12" s="18" t="n">
        <v>32000</v>
      </c>
      <c r="G12" s="18" t="n">
        <v>30000</v>
      </c>
      <c r="H12" s="18" t="n">
        <v>28000</v>
      </c>
      <c r="I12" s="18" t="n">
        <v>25000</v>
      </c>
      <c r="J12" s="18" t="n">
        <v>22000</v>
      </c>
      <c r="K12" s="18" t="n">
        <v>20000</v>
      </c>
      <c r="L12" s="18" t="n">
        <v>15000</v>
      </c>
      <c r="M12" s="18" t="n">
        <v>12000</v>
      </c>
      <c r="O12" s="35" t="n">
        <f aca="false">SUM(B12:N12)</f>
        <v>289000</v>
      </c>
    </row>
    <row r="13" customFormat="false" ht="19.5" hidden="false" customHeight="true" outlineLevel="0" collapsed="false">
      <c r="A13" s="36" t="s">
        <v>113</v>
      </c>
      <c r="B13" s="18" t="n">
        <v>3500</v>
      </c>
      <c r="C13" s="18" t="n">
        <v>3500</v>
      </c>
      <c r="D13" s="18" t="n">
        <v>3500</v>
      </c>
      <c r="E13" s="18" t="n">
        <v>3500</v>
      </c>
      <c r="F13" s="18" t="n">
        <v>3500</v>
      </c>
      <c r="G13" s="18" t="n">
        <v>3500</v>
      </c>
      <c r="H13" s="18" t="n">
        <v>3500</v>
      </c>
      <c r="I13" s="18" t="n">
        <v>3500</v>
      </c>
      <c r="J13" s="18" t="n">
        <v>0</v>
      </c>
      <c r="K13" s="18" t="n">
        <v>0</v>
      </c>
      <c r="L13" s="18" t="n">
        <v>0</v>
      </c>
      <c r="M13" s="18" t="n">
        <v>0</v>
      </c>
      <c r="O13" s="35" t="n">
        <f aca="false">SUM(B13:N13)</f>
        <v>28000</v>
      </c>
    </row>
    <row r="14" customFormat="false" ht="19.5" hidden="false" customHeight="true" outlineLevel="0" collapsed="false">
      <c r="A14" s="34" t="s">
        <v>114</v>
      </c>
      <c r="B14" s="18" t="n">
        <v>4000</v>
      </c>
      <c r="C14" s="18" t="n">
        <v>4000</v>
      </c>
      <c r="D14" s="18" t="n">
        <v>4000</v>
      </c>
      <c r="E14" s="18" t="n">
        <v>4000</v>
      </c>
      <c r="F14" s="18" t="n">
        <v>4000</v>
      </c>
      <c r="G14" s="18" t="n">
        <v>4000</v>
      </c>
      <c r="H14" s="18" t="n">
        <v>4000</v>
      </c>
      <c r="I14" s="18" t="n">
        <v>4000</v>
      </c>
      <c r="J14" s="18" t="n">
        <v>4000</v>
      </c>
      <c r="K14" s="18" t="n">
        <v>4000</v>
      </c>
      <c r="L14" s="18" t="n">
        <v>4000</v>
      </c>
      <c r="M14" s="18" t="n">
        <v>4000</v>
      </c>
      <c r="O14" s="35" t="n">
        <f aca="false">SUM(B14:N14)</f>
        <v>48000</v>
      </c>
    </row>
    <row r="15" customFormat="false" ht="19.5" hidden="false" customHeight="true" outlineLevel="0" collapsed="false">
      <c r="A15" s="36" t="s">
        <v>115</v>
      </c>
      <c r="B15" s="18" t="n">
        <v>1800</v>
      </c>
      <c r="C15" s="18" t="n">
        <v>1800</v>
      </c>
      <c r="D15" s="18" t="n">
        <v>1800</v>
      </c>
      <c r="E15" s="18" t="n">
        <v>1800</v>
      </c>
      <c r="F15" s="18" t="n">
        <v>1800</v>
      </c>
      <c r="G15" s="18" t="n">
        <v>1800</v>
      </c>
      <c r="H15" s="18" t="n">
        <v>1800</v>
      </c>
      <c r="I15" s="18" t="n">
        <v>1800</v>
      </c>
      <c r="J15" s="18" t="n">
        <v>1800</v>
      </c>
      <c r="K15" s="18" t="n">
        <v>1800</v>
      </c>
      <c r="L15" s="18" t="n">
        <v>1800</v>
      </c>
      <c r="M15" s="18" t="n">
        <v>1800</v>
      </c>
      <c r="O15" s="35" t="n">
        <f aca="false">SUM(B15:N15)</f>
        <v>21600</v>
      </c>
    </row>
    <row r="16" customFormat="false" ht="19.5" hidden="false" customHeight="true" outlineLevel="0" collapsed="false">
      <c r="A16" s="34" t="s">
        <v>116</v>
      </c>
      <c r="B16" s="18" t="n">
        <v>2000</v>
      </c>
      <c r="C16" s="18" t="n">
        <v>2000</v>
      </c>
      <c r="D16" s="18" t="n">
        <v>2000</v>
      </c>
      <c r="E16" s="18" t="n">
        <v>2000</v>
      </c>
      <c r="F16" s="18" t="n">
        <v>2000</v>
      </c>
      <c r="G16" s="18" t="n">
        <v>2000</v>
      </c>
      <c r="H16" s="18" t="n">
        <v>2000</v>
      </c>
      <c r="I16" s="18" t="n">
        <v>2000</v>
      </c>
      <c r="J16" s="18" t="n">
        <v>2000</v>
      </c>
      <c r="K16" s="18" t="n">
        <v>2000</v>
      </c>
      <c r="L16" s="18" t="n">
        <v>2000</v>
      </c>
      <c r="M16" s="18" t="n">
        <v>2000</v>
      </c>
      <c r="O16" s="35" t="n">
        <f aca="false">SUM(B16:N16)</f>
        <v>24000</v>
      </c>
    </row>
    <row r="17" customFormat="false" ht="19.5" hidden="false" customHeight="true" outlineLevel="0" collapsed="false">
      <c r="A17" s="37" t="s">
        <v>117</v>
      </c>
      <c r="B17" s="38" t="n">
        <f aca="false">B11+B12+B13+B14+B15+B16</f>
        <v>51300</v>
      </c>
      <c r="C17" s="38" t="n">
        <f aca="false">C11+C12+C13+C14+C15+C16</f>
        <v>58300</v>
      </c>
      <c r="D17" s="38" t="n">
        <f aca="false">D11+D12+D13+D14+D15+D16</f>
        <v>67300</v>
      </c>
      <c r="E17" s="38" t="n">
        <f aca="false">E11+E12+E13+E14+E15+E16</f>
        <v>76300</v>
      </c>
      <c r="F17" s="38" t="n">
        <f aca="false">F11+F12+F13+F14+F15+F16</f>
        <v>85300</v>
      </c>
      <c r="G17" s="38" t="n">
        <f aca="false">G11+G12+G13+G14+G15+G16</f>
        <v>79300</v>
      </c>
      <c r="H17" s="38" t="n">
        <f aca="false">H11+H12+H13+H14+H15+H16</f>
        <v>69300</v>
      </c>
      <c r="I17" s="38" t="n">
        <f aca="false">I11+I12+I13+I14+I15+I16</f>
        <v>61300</v>
      </c>
      <c r="J17" s="38" t="n">
        <f aca="false">J11+J12+J13+J14+J15+J16</f>
        <v>49800</v>
      </c>
      <c r="K17" s="38" t="n">
        <f aca="false">K11+K12+K13+K14+K15+K16</f>
        <v>42800</v>
      </c>
      <c r="L17" s="38" t="n">
        <f aca="false">L11+L12+L13+L14+L15+L16</f>
        <v>32800</v>
      </c>
      <c r="M17" s="38" t="n">
        <f aca="false">M11+M12+M13+M14+M15+M16</f>
        <v>27800</v>
      </c>
      <c r="O17" s="38" t="n">
        <f aca="false">SUM(B17:N17)</f>
        <v>701600</v>
      </c>
    </row>
    <row r="18" customFormat="false" ht="7.5" hidden="false" customHeight="true" outlineLevel="0" collapsed="false"/>
    <row r="19" customFormat="false" ht="19.5" hidden="false" customHeight="true" outlineLevel="0" collapsed="false">
      <c r="A19" s="11" t="s">
        <v>118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customFormat="false" ht="19.5" hidden="false" customHeight="true" outlineLevel="0" collapsed="false">
      <c r="A20" s="37" t="s">
        <v>119</v>
      </c>
      <c r="B20" s="38" t="n">
        <f aca="false">B8-B17</f>
        <v>-6300</v>
      </c>
      <c r="C20" s="38" t="n">
        <f aca="false">C8-C17</f>
        <v>-3300</v>
      </c>
      <c r="D20" s="38" t="n">
        <f aca="false">D8-D17</f>
        <v>-7300</v>
      </c>
      <c r="E20" s="38" t="n">
        <f aca="false">E8-E17</f>
        <v>-6300</v>
      </c>
      <c r="F20" s="38" t="n">
        <f aca="false">F8-F17</f>
        <v>-10300</v>
      </c>
      <c r="G20" s="38" t="n">
        <f aca="false">G8-G17</f>
        <v>700</v>
      </c>
      <c r="H20" s="38" t="n">
        <f aca="false">H8-H17</f>
        <v>2700</v>
      </c>
      <c r="I20" s="38" t="n">
        <f aca="false">I8-I17</f>
        <v>3700</v>
      </c>
      <c r="J20" s="38" t="n">
        <f aca="false">J8-J17</f>
        <v>10200</v>
      </c>
      <c r="K20" s="38" t="n">
        <f aca="false">K8-K17</f>
        <v>12200</v>
      </c>
      <c r="L20" s="38" t="n">
        <f aca="false">L8-L17</f>
        <v>7200</v>
      </c>
      <c r="M20" s="38" t="n">
        <f aca="false">M8-M17</f>
        <v>182200</v>
      </c>
      <c r="O20" s="38" t="n">
        <f aca="false">SUM(B20:N20)</f>
        <v>185400</v>
      </c>
    </row>
    <row r="21" customFormat="false" ht="19.5" hidden="false" customHeight="true" outlineLevel="0" collapsed="false">
      <c r="A21" s="37" t="s">
        <v>120</v>
      </c>
      <c r="B21" s="38" t="n">
        <f aca="false">B20</f>
        <v>-6300</v>
      </c>
      <c r="C21" s="38" t="n">
        <f aca="false">B21+C20</f>
        <v>-9600</v>
      </c>
      <c r="D21" s="38" t="n">
        <f aca="false">C21+D20</f>
        <v>-16900</v>
      </c>
      <c r="E21" s="38" t="n">
        <f aca="false">D21+E20</f>
        <v>-23200</v>
      </c>
      <c r="F21" s="38" t="n">
        <f aca="false">E21+F20</f>
        <v>-33500</v>
      </c>
      <c r="G21" s="38" t="n">
        <f aca="false">F21+G20</f>
        <v>-32800</v>
      </c>
      <c r="H21" s="38" t="n">
        <f aca="false">G21+H20</f>
        <v>-30100</v>
      </c>
      <c r="I21" s="38" t="n">
        <f aca="false">H21+I20</f>
        <v>-26400</v>
      </c>
      <c r="J21" s="38" t="n">
        <f aca="false">I21+J20</f>
        <v>-16200</v>
      </c>
      <c r="K21" s="38" t="n">
        <f aca="false">J21+K20</f>
        <v>-4000</v>
      </c>
      <c r="L21" s="38" t="n">
        <f aca="false">K21+L20</f>
        <v>3200</v>
      </c>
      <c r="M21" s="38" t="n">
        <f aca="false">L21+M20</f>
        <v>185400</v>
      </c>
      <c r="O21" s="38" t="n">
        <f aca="false">N21</f>
        <v>0</v>
      </c>
    </row>
    <row r="22" customFormat="false" ht="19.5" hidden="false" customHeight="true" outlineLevel="0" collapsed="false">
      <c r="A22" s="39" t="s">
        <v>121</v>
      </c>
      <c r="B22" s="40" t="n">
        <f aca="false">B17*Bauzeitenplan!$B$9</f>
        <v>2565</v>
      </c>
      <c r="C22" s="40" t="n">
        <f aca="false">C17*Bauzeitenplan!$B$9</f>
        <v>2915</v>
      </c>
      <c r="D22" s="40" t="n">
        <f aca="false">D17*Bauzeitenplan!$B$9</f>
        <v>3365</v>
      </c>
      <c r="E22" s="40" t="n">
        <f aca="false">E17*Bauzeitenplan!$B$9</f>
        <v>3815</v>
      </c>
      <c r="F22" s="40" t="n">
        <f aca="false">F17*Bauzeitenplan!$B$9</f>
        <v>4265</v>
      </c>
      <c r="G22" s="40" t="n">
        <f aca="false">G17*Bauzeitenplan!$B$9</f>
        <v>3965</v>
      </c>
      <c r="H22" s="40" t="n">
        <f aca="false">H17*Bauzeitenplan!$B$9</f>
        <v>3465</v>
      </c>
      <c r="I22" s="40" t="n">
        <f aca="false">I17*Bauzeitenplan!$B$9</f>
        <v>3065</v>
      </c>
      <c r="J22" s="40" t="n">
        <f aca="false">J17*Bauzeitenplan!$B$9</f>
        <v>2490</v>
      </c>
      <c r="K22" s="40" t="n">
        <f aca="false">K17*Bauzeitenplan!$B$9</f>
        <v>2140</v>
      </c>
      <c r="L22" s="40" t="n">
        <f aca="false">L17*Bauzeitenplan!$B$9</f>
        <v>1640</v>
      </c>
      <c r="M22" s="40" t="n">
        <f aca="false">M17*Bauzeitenplan!$B$9</f>
        <v>1390</v>
      </c>
      <c r="O22" s="35" t="n">
        <f aca="false">SUM(B22:N22)</f>
        <v>35080</v>
      </c>
    </row>
  </sheetData>
  <mergeCells count="2">
    <mergeCell ref="A1:N1"/>
    <mergeCell ref="A2:N2"/>
  </mergeCells>
  <conditionalFormatting sqref="B20:N20">
    <cfRule type="expression" priority="2" aboveAverage="0" equalAverage="0" bottom="0" percent="0" rank="0" text="" dxfId="1">
      <formula>B20&lt;0</formula>
    </cfRule>
  </conditionalFormatting>
  <conditionalFormatting sqref="B21:N21">
    <cfRule type="expression" priority="3" aboveAverage="0" equalAverage="0" bottom="0" percent="0" rank="0" text="" dxfId="1">
      <formula>B21&lt;0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3" min="2" style="0" width="18"/>
    <col collapsed="false" customWidth="true" hidden="false" outlineLevel="0" max="4" min="4" style="0" width="22"/>
  </cols>
  <sheetData>
    <row r="1" customFormat="false" ht="27.75" hidden="false" customHeight="true" outlineLevel="0" collapsed="false">
      <c r="A1" s="1" t="s">
        <v>122</v>
      </c>
      <c r="B1" s="1"/>
      <c r="C1" s="1"/>
      <c r="D1" s="1"/>
    </row>
    <row r="2" customFormat="false" ht="18" hidden="false" customHeight="true" outlineLevel="0" collapsed="false">
      <c r="A2" s="2" t="s">
        <v>123</v>
      </c>
      <c r="B2" s="2"/>
      <c r="C2" s="2"/>
      <c r="D2" s="2"/>
    </row>
    <row r="4" customFormat="false" ht="18" hidden="false" customHeight="true" outlineLevel="0" collapsed="false">
      <c r="A4" s="3" t="s">
        <v>124</v>
      </c>
      <c r="B4" s="3"/>
      <c r="C4" s="3"/>
      <c r="D4" s="3"/>
    </row>
    <row r="5" customFormat="false" ht="21.75" hidden="false" customHeight="true" outlineLevel="0" collapsed="false">
      <c r="A5" s="34" t="s">
        <v>125</v>
      </c>
      <c r="B5" s="41" t="n">
        <v>450</v>
      </c>
      <c r="C5" s="42" t="s">
        <v>126</v>
      </c>
      <c r="D5" s="42"/>
    </row>
    <row r="6" customFormat="false" ht="21.75" hidden="false" customHeight="true" outlineLevel="0" collapsed="false">
      <c r="A6" s="34" t="s">
        <v>127</v>
      </c>
      <c r="B6" s="41" t="n">
        <v>1000</v>
      </c>
      <c r="C6" s="42" t="s">
        <v>128</v>
      </c>
      <c r="D6" s="42"/>
    </row>
    <row r="7" customFormat="false" ht="21.75" hidden="false" customHeight="true" outlineLevel="0" collapsed="false">
      <c r="A7" s="34" t="s">
        <v>129</v>
      </c>
      <c r="B7" s="43" t="n">
        <v>14</v>
      </c>
      <c r="C7" s="42" t="s">
        <v>130</v>
      </c>
      <c r="D7" s="42"/>
    </row>
    <row r="8" customFormat="false" ht="21.75" hidden="false" customHeight="true" outlineLevel="0" collapsed="false">
      <c r="A8" s="34" t="s">
        <v>131</v>
      </c>
      <c r="B8" s="41" t="n">
        <v>36000</v>
      </c>
      <c r="C8" s="42" t="s">
        <v>132</v>
      </c>
      <c r="D8" s="42"/>
    </row>
    <row r="9" customFormat="false" ht="21.75" hidden="false" customHeight="true" outlineLevel="0" collapsed="false">
      <c r="A9" s="34" t="s">
        <v>133</v>
      </c>
      <c r="B9" s="41" t="n">
        <v>850000</v>
      </c>
      <c r="C9" s="42" t="s">
        <v>134</v>
      </c>
      <c r="D9" s="42"/>
    </row>
    <row r="10" customFormat="false" ht="18" hidden="false" customHeight="true" outlineLevel="0" collapsed="false">
      <c r="A10" s="3" t="s">
        <v>135</v>
      </c>
      <c r="B10" s="3"/>
      <c r="C10" s="3"/>
      <c r="D10" s="3"/>
    </row>
    <row r="11" customFormat="false" ht="24" hidden="false" customHeight="true" outlineLevel="0" collapsed="false">
      <c r="A11" s="44" t="s">
        <v>136</v>
      </c>
      <c r="B11" s="45" t="n">
        <f aca="false">B5*B7</f>
        <v>6300</v>
      </c>
      <c r="C11" s="46" t="s">
        <v>137</v>
      </c>
      <c r="D11" s="46"/>
    </row>
    <row r="12" customFormat="false" ht="24" hidden="false" customHeight="true" outlineLevel="0" collapsed="false">
      <c r="A12" s="47" t="s">
        <v>138</v>
      </c>
      <c r="B12" s="48" t="n">
        <f aca="false">B6*B7</f>
        <v>14000</v>
      </c>
      <c r="C12" s="46" t="s">
        <v>139</v>
      </c>
      <c r="D12" s="46"/>
    </row>
    <row r="13" customFormat="false" ht="24" hidden="false" customHeight="true" outlineLevel="0" collapsed="false">
      <c r="A13" s="44" t="s">
        <v>140</v>
      </c>
      <c r="B13" s="45" t="n">
        <f aca="false">B8/365*B7</f>
        <v>1380.82191780822</v>
      </c>
      <c r="C13" s="46" t="s">
        <v>141</v>
      </c>
      <c r="D13" s="46"/>
    </row>
    <row r="14" customFormat="false" ht="24" hidden="false" customHeight="true" outlineLevel="0" collapsed="false">
      <c r="A14" s="49" t="s">
        <v>142</v>
      </c>
      <c r="B14" s="50" t="n">
        <f aca="false">B11+B12+B13</f>
        <v>21680.8219178082</v>
      </c>
      <c r="C14" s="51" t="s">
        <v>143</v>
      </c>
      <c r="D14" s="51"/>
    </row>
    <row r="15" customFormat="false" ht="24" hidden="false" customHeight="true" outlineLevel="0" collapsed="false">
      <c r="A15" s="11" t="s">
        <v>144</v>
      </c>
      <c r="B15" s="52" t="n">
        <f aca="false">B14/B9</f>
        <v>0.0255068493150685</v>
      </c>
      <c r="C15" s="46" t="s">
        <v>145</v>
      </c>
      <c r="D15" s="46"/>
    </row>
    <row r="18" customFormat="false" ht="18" hidden="false" customHeight="true" outlineLevel="0" collapsed="false">
      <c r="A18" s="3" t="s">
        <v>146</v>
      </c>
      <c r="B18" s="3"/>
      <c r="C18" s="3"/>
      <c r="D18" s="3"/>
    </row>
    <row r="19" customFormat="false" ht="19.5" hidden="false" customHeight="true" outlineLevel="0" collapsed="false">
      <c r="A19" s="9" t="s">
        <v>147</v>
      </c>
      <c r="B19" s="9" t="s">
        <v>148</v>
      </c>
      <c r="C19" s="9" t="s">
        <v>149</v>
      </c>
      <c r="D19" s="9" t="s">
        <v>150</v>
      </c>
    </row>
    <row r="20" customFormat="false" ht="19.5" hidden="false" customHeight="true" outlineLevel="0" collapsed="false">
      <c r="A20" s="34" t="s">
        <v>151</v>
      </c>
      <c r="B20" s="53" t="n">
        <v>5</v>
      </c>
      <c r="C20" s="24" t="n">
        <f aca="false">(B5+B6)*B20+B8/365*B20</f>
        <v>7743.15068493151</v>
      </c>
      <c r="D20" s="54" t="n">
        <f aca="false">C20/B9</f>
        <v>0.00910958904109589</v>
      </c>
    </row>
    <row r="21" customFormat="false" ht="19.5" hidden="false" customHeight="true" outlineLevel="0" collapsed="false">
      <c r="A21" s="36" t="s">
        <v>152</v>
      </c>
      <c r="B21" s="53" t="n">
        <v>14</v>
      </c>
      <c r="C21" s="19" t="n">
        <f aca="false">(B5+B6)*B21+B8/365*B21</f>
        <v>21680.8219178082</v>
      </c>
      <c r="D21" s="55" t="n">
        <f aca="false">C21/B9</f>
        <v>0.0255068493150685</v>
      </c>
    </row>
    <row r="22" customFormat="false" ht="19.5" hidden="false" customHeight="true" outlineLevel="0" collapsed="false">
      <c r="A22" s="34" t="s">
        <v>153</v>
      </c>
      <c r="B22" s="53" t="n">
        <v>30</v>
      </c>
      <c r="C22" s="24" t="n">
        <f aca="false">(B5+B6)*B22+B8/365*B22</f>
        <v>46458.904109589</v>
      </c>
      <c r="D22" s="54" t="n">
        <f aca="false">C22/B9</f>
        <v>0.0546575342465753</v>
      </c>
    </row>
    <row r="23" customFormat="false" ht="19.5" hidden="false" customHeight="true" outlineLevel="0" collapsed="false">
      <c r="A23" s="36" t="s">
        <v>154</v>
      </c>
      <c r="B23" s="53" t="n">
        <v>60</v>
      </c>
      <c r="C23" s="19" t="n">
        <f aca="false">(B5+B6)*B23+B8/365*B23</f>
        <v>92917.8082191781</v>
      </c>
      <c r="D23" s="55" t="n">
        <f aca="false">C23/B9</f>
        <v>0.109315068493151</v>
      </c>
    </row>
  </sheetData>
  <mergeCells count="15">
    <mergeCell ref="A1:D1"/>
    <mergeCell ref="A2:D2"/>
    <mergeCell ref="A4:D4"/>
    <mergeCell ref="C5:D5"/>
    <mergeCell ref="C6:D6"/>
    <mergeCell ref="C7:D7"/>
    <mergeCell ref="C8:D8"/>
    <mergeCell ref="C9:D9"/>
    <mergeCell ref="A10:D10"/>
    <mergeCell ref="C11:D11"/>
    <mergeCell ref="C12:D12"/>
    <mergeCell ref="C13:D13"/>
    <mergeCell ref="C14:D14"/>
    <mergeCell ref="C15:D15"/>
    <mergeCell ref="A18:D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2"/>
    <col collapsed="false" customWidth="true" hidden="false" outlineLevel="0" max="3" min="3" style="0" width="16"/>
    <col collapsed="false" customWidth="true" hidden="false" outlineLevel="0" max="4" min="4" style="0" width="18"/>
    <col collapsed="false" customWidth="true" hidden="false" outlineLevel="0" max="5" min="5" style="0" width="14"/>
    <col collapsed="false" customWidth="true" hidden="false" outlineLevel="0" max="6" min="6" style="0" width="18"/>
    <col collapsed="false" customWidth="true" hidden="false" outlineLevel="0" max="7" min="7" style="0" width="14"/>
  </cols>
  <sheetData>
    <row r="1" customFormat="false" ht="27.75" hidden="false" customHeight="true" outlineLevel="0" collapsed="false">
      <c r="A1" s="1" t="s">
        <v>155</v>
      </c>
      <c r="B1" s="1"/>
      <c r="C1" s="1"/>
      <c r="D1" s="1"/>
      <c r="E1" s="1"/>
      <c r="F1" s="1"/>
      <c r="G1" s="1"/>
    </row>
    <row r="2" customFormat="false" ht="18" hidden="false" customHeight="true" outlineLevel="0" collapsed="false">
      <c r="A2" s="2" t="s">
        <v>156</v>
      </c>
      <c r="B2" s="2"/>
      <c r="C2" s="2"/>
      <c r="D2" s="2"/>
      <c r="E2" s="2"/>
      <c r="F2" s="2"/>
      <c r="G2" s="2"/>
    </row>
    <row r="4" customFormat="false" ht="21.75" hidden="false" customHeight="true" outlineLevel="0" collapsed="false">
      <c r="A4" s="9" t="s">
        <v>12</v>
      </c>
      <c r="B4" s="9" t="s">
        <v>157</v>
      </c>
      <c r="C4" s="9" t="s">
        <v>158</v>
      </c>
      <c r="D4" s="9" t="s">
        <v>159</v>
      </c>
      <c r="E4" s="9" t="s">
        <v>160</v>
      </c>
      <c r="F4" s="9" t="s">
        <v>161</v>
      </c>
      <c r="G4" s="9" t="s">
        <v>162</v>
      </c>
    </row>
    <row r="5" customFormat="false" ht="21.75" hidden="false" customHeight="true" outlineLevel="0" collapsed="false">
      <c r="A5" s="56" t="s">
        <v>163</v>
      </c>
      <c r="B5" s="22" t="s">
        <v>164</v>
      </c>
      <c r="C5" s="21" t="s">
        <v>165</v>
      </c>
      <c r="D5" s="18" t="n">
        <v>50000</v>
      </c>
      <c r="E5" s="57" t="s">
        <v>166</v>
      </c>
      <c r="F5" s="18" t="n">
        <v>50000</v>
      </c>
      <c r="G5" s="24" t="n">
        <f aca="false">D5-IF(ISNUMBER(F5),F5,0)</f>
        <v>0</v>
      </c>
    </row>
    <row r="6" customFormat="false" ht="21.75" hidden="false" customHeight="true" outlineLevel="0" collapsed="false">
      <c r="A6" s="58" t="s">
        <v>167</v>
      </c>
      <c r="B6" s="15" t="s">
        <v>168</v>
      </c>
      <c r="C6" s="14" t="s">
        <v>169</v>
      </c>
      <c r="D6" s="18" t="n">
        <v>35000</v>
      </c>
      <c r="E6" s="57" t="s">
        <v>166</v>
      </c>
      <c r="F6" s="18" t="n">
        <v>35000</v>
      </c>
      <c r="G6" s="19" t="n">
        <f aca="false">D6-IF(ISNUMBER(F6),F6,0)</f>
        <v>0</v>
      </c>
    </row>
    <row r="7" customFormat="false" ht="21.75" hidden="false" customHeight="true" outlineLevel="0" collapsed="false">
      <c r="A7" s="56" t="s">
        <v>170</v>
      </c>
      <c r="B7" s="22" t="s">
        <v>171</v>
      </c>
      <c r="C7" s="21" t="s">
        <v>172</v>
      </c>
      <c r="D7" s="18" t="n">
        <v>75000</v>
      </c>
      <c r="E7" s="57" t="s">
        <v>166</v>
      </c>
      <c r="F7" s="18" t="n">
        <v>75000</v>
      </c>
      <c r="G7" s="24" t="n">
        <f aca="false">D7-IF(ISNUMBER(F7),F7,0)</f>
        <v>0</v>
      </c>
    </row>
    <row r="8" customFormat="false" ht="21.75" hidden="false" customHeight="true" outlineLevel="0" collapsed="false">
      <c r="A8" s="58" t="s">
        <v>173</v>
      </c>
      <c r="B8" s="15" t="s">
        <v>174</v>
      </c>
      <c r="C8" s="14" t="s">
        <v>175</v>
      </c>
      <c r="D8" s="18" t="n">
        <v>90000</v>
      </c>
      <c r="E8" s="57" t="s">
        <v>166</v>
      </c>
      <c r="F8" s="18" t="n">
        <v>90000</v>
      </c>
      <c r="G8" s="19" t="n">
        <f aca="false">D8-IF(ISNUMBER(F8),F8,0)</f>
        <v>0</v>
      </c>
    </row>
    <row r="9" customFormat="false" ht="21.75" hidden="false" customHeight="true" outlineLevel="0" collapsed="false">
      <c r="A9" s="56" t="s">
        <v>176</v>
      </c>
      <c r="B9" s="22" t="s">
        <v>177</v>
      </c>
      <c r="C9" s="21" t="s">
        <v>178</v>
      </c>
      <c r="D9" s="18" t="n">
        <v>85000</v>
      </c>
      <c r="E9" s="59" t="s">
        <v>179</v>
      </c>
      <c r="F9" s="18"/>
      <c r="G9" s="24" t="n">
        <f aca="false">D9-IF(ISNUMBER(F9),F9,0)</f>
        <v>85000</v>
      </c>
    </row>
    <row r="10" customFormat="false" ht="21.75" hidden="false" customHeight="true" outlineLevel="0" collapsed="false">
      <c r="A10" s="58" t="s">
        <v>180</v>
      </c>
      <c r="B10" s="15" t="s">
        <v>181</v>
      </c>
      <c r="C10" s="14" t="s">
        <v>182</v>
      </c>
      <c r="D10" s="18" t="n">
        <v>70000</v>
      </c>
      <c r="E10" s="60" t="s">
        <v>183</v>
      </c>
      <c r="F10" s="18"/>
      <c r="G10" s="19" t="n">
        <f aca="false">D10-IF(ISNUMBER(F10),F10,0)</f>
        <v>70000</v>
      </c>
    </row>
    <row r="11" customFormat="false" ht="21.75" hidden="false" customHeight="true" outlineLevel="0" collapsed="false">
      <c r="A11" s="56" t="s">
        <v>184</v>
      </c>
      <c r="B11" s="22" t="s">
        <v>185</v>
      </c>
      <c r="C11" s="21" t="s">
        <v>186</v>
      </c>
      <c r="D11" s="18" t="n">
        <v>65000</v>
      </c>
      <c r="E11" s="60" t="s">
        <v>183</v>
      </c>
      <c r="F11" s="18"/>
      <c r="G11" s="24" t="n">
        <f aca="false">D11-IF(ISNUMBER(F11),F11,0)</f>
        <v>65000</v>
      </c>
    </row>
    <row r="12" customFormat="false" ht="21.75" hidden="false" customHeight="true" outlineLevel="0" collapsed="false">
      <c r="A12" s="58" t="s">
        <v>187</v>
      </c>
      <c r="B12" s="15" t="s">
        <v>188</v>
      </c>
      <c r="C12" s="14" t="s">
        <v>189</v>
      </c>
      <c r="D12" s="18" t="n">
        <v>80000</v>
      </c>
      <c r="E12" s="60" t="s">
        <v>183</v>
      </c>
      <c r="F12" s="18"/>
      <c r="G12" s="19" t="n">
        <f aca="false">D12-IF(ISNUMBER(F12),F12,0)</f>
        <v>80000</v>
      </c>
    </row>
    <row r="13" customFormat="false" ht="21.75" hidden="false" customHeight="true" outlineLevel="0" collapsed="false">
      <c r="A13" s="56" t="s">
        <v>190</v>
      </c>
      <c r="B13" s="22" t="s">
        <v>191</v>
      </c>
      <c r="C13" s="21" t="s">
        <v>192</v>
      </c>
      <c r="D13" s="18" t="n">
        <v>45000</v>
      </c>
      <c r="E13" s="60" t="s">
        <v>183</v>
      </c>
      <c r="F13" s="18"/>
      <c r="G13" s="24" t="n">
        <f aca="false">D13-IF(ISNUMBER(F13),F13,0)</f>
        <v>45000</v>
      </c>
    </row>
    <row r="14" customFormat="false" ht="21.75" hidden="false" customHeight="true" outlineLevel="0" collapsed="false">
      <c r="A14" s="58" t="s">
        <v>193</v>
      </c>
      <c r="B14" s="15" t="s">
        <v>194</v>
      </c>
      <c r="C14" s="14" t="s">
        <v>195</v>
      </c>
      <c r="D14" s="18" t="n">
        <v>155000</v>
      </c>
      <c r="E14" s="60" t="s">
        <v>183</v>
      </c>
      <c r="F14" s="18"/>
      <c r="G14" s="19" t="n">
        <f aca="false">D14-IF(ISNUMBER(F14),F14,0)</f>
        <v>155000</v>
      </c>
    </row>
    <row r="15" customFormat="false" ht="24" hidden="false" customHeight="true" outlineLevel="0" collapsed="false">
      <c r="A15" s="61" t="s">
        <v>196</v>
      </c>
      <c r="B15" s="61"/>
      <c r="C15" s="61"/>
      <c r="D15" s="50" t="n">
        <f aca="false">SUM(D5:D14)</f>
        <v>750000</v>
      </c>
      <c r="E15" s="9" t="str">
        <f aca="false">COUNTIF(E5:E14,"Abgerechnet")&amp;" / "&amp;COUNTA(E5:E14)&amp;" Meilensteine"</f>
        <v>4 / 10 Meilensteine</v>
      </c>
      <c r="F15" s="50" t="n">
        <f aca="false">SUM(F5:F14)</f>
        <v>250000</v>
      </c>
      <c r="G15" s="50" t="n">
        <f aca="false">SUM(G5:G14)</f>
        <v>500000</v>
      </c>
    </row>
  </sheetData>
  <mergeCells count="3">
    <mergeCell ref="A1:G1"/>
    <mergeCell ref="A2:G2"/>
    <mergeCell ref="A15:C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2026-04-16T08:24:06Z</dcterms:created>
  <dc:creator>openpyxl</dc:creator>
  <dc:description/>
  <dc:language>en-US</dc:language>
  <cp:lastModifiedBy/>
  <dcterms:modified xsi:type="dcterms:W3CDTF">2026-04-16T08:24:06Z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