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derungsaufstellung" sheetId="1" state="visible" r:id="rId2"/>
    <sheet name="Aging-Analyse" sheetId="2" state="visible" r:id="rId3"/>
    <sheet name="DSO-Rechner" sheetId="3" state="visible" r:id="rId4"/>
    <sheet name="Kennzahlen-Dashboard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<sst xmlns="http://schemas.openxmlformats.org/spreadsheetml/2006/main" count="236" uniqueCount="181">
  <si>
    <t xml:space="preserve">FORDERUNGSAUFSTELLUNG – OFFENE-POSTEN-LISTE</t>
  </si>
  <si>
    <t xml:space="preserve">WHK Controlling – Ihr externer Finanzbereich für wachsende Unternehmen</t>
  </si>
  <si>
    <t xml:space="preserve">Stichtag:</t>
  </si>
  <si>
    <t xml:space="preserve">Unternehmen:</t>
  </si>
  <si>
    <t xml:space="preserve">Deb.-Nr.</t>
  </si>
  <si>
    <t xml:space="preserve">Debitor / Kunde</t>
  </si>
  <si>
    <t xml:space="preserve">Re.-Nr.</t>
  </si>
  <si>
    <t xml:space="preserve">Re.-Datum</t>
  </si>
  <si>
    <t xml:space="preserve">Fälligkeitsdatum</t>
  </si>
  <si>
    <t xml:space="preserve">Re.-Betrag
(brutto €)</t>
  </si>
  <si>
    <t xml:space="preserve">Offen.
Betrag (€)</t>
  </si>
  <si>
    <t xml:space="preserve">DSO
(Tage übeRfällig)</t>
  </si>
  <si>
    <t xml:space="preserve">Mahnstufe</t>
  </si>
  <si>
    <t xml:space="preserve">Risikoklasse</t>
  </si>
  <si>
    <t xml:space="preserve">EWB (€)</t>
  </si>
  <si>
    <t xml:space="preserve">Netto-Forderung
nach EWB (€)</t>
  </si>
  <si>
    <t xml:space="preserve">Währung</t>
  </si>
  <si>
    <t xml:space="preserve">Zahlungsbeding.</t>
  </si>
  <si>
    <t xml:space="preserve">Zuständig</t>
  </si>
  <si>
    <t xml:space="preserve">Sicherheiten</t>
  </si>
  <si>
    <t xml:space="preserve">Notizen / Maßnahmen</t>
  </si>
  <si>
    <t xml:space="preserve">Strittig?</t>
  </si>
  <si>
    <t xml:space="preserve">D001</t>
  </si>
  <si>
    <t xml:space="preserve">Müller GmbH</t>
  </si>
  <si>
    <t xml:space="preserve">R-2025-0041</t>
  </si>
  <si>
    <t xml:space="preserve">2. Mahnung</t>
  </si>
  <si>
    <t xml:space="preserve">Mittel</t>
  </si>
  <si>
    <t xml:space="preserve">EUR</t>
  </si>
  <si>
    <t xml:space="preserve">Netto 30</t>
  </si>
  <si>
    <t xml:space="preserve">Schulz</t>
  </si>
  <si>
    <t xml:space="preserve">Eigentumsvorbehalt</t>
  </si>
  <si>
    <t xml:space="preserve">Zweite Mahnung versandt 05.03.2025</t>
  </si>
  <si>
    <t xml:space="preserve">Nein</t>
  </si>
  <si>
    <t xml:space="preserve">D002</t>
  </si>
  <si>
    <t xml:space="preserve">Schmidt &amp; Co. KG</t>
  </si>
  <si>
    <t xml:space="preserve">R-2025-0055</t>
  </si>
  <si>
    <t xml:space="preserve">1. Mahnung</t>
  </si>
  <si>
    <t xml:space="preserve">Niedrig</t>
  </si>
  <si>
    <t xml:space="preserve">Meier</t>
  </si>
  <si>
    <t xml:space="preserve">Erste Mahnung versandt 28.02.2025</t>
  </si>
  <si>
    <t xml:space="preserve">D003</t>
  </si>
  <si>
    <t xml:space="preserve">Technobau AG</t>
  </si>
  <si>
    <t xml:space="preserve">R-2025-0060</t>
  </si>
  <si>
    <t xml:space="preserve">Keine</t>
  </si>
  <si>
    <t xml:space="preserve">Netto 60</t>
  </si>
  <si>
    <t xml:space="preserve">Bürgschaft</t>
  </si>
  <si>
    <t xml:space="preserve">Noch nicht fällig</t>
  </si>
  <si>
    <t xml:space="preserve">D004</t>
  </si>
  <si>
    <t xml:space="preserve">Alpha Services OHG</t>
  </si>
  <si>
    <t xml:space="preserve">R-2025-0023</t>
  </si>
  <si>
    <t xml:space="preserve">Wagner</t>
  </si>
  <si>
    <t xml:space="preserve">Teilzahlung 9.600 € eingegangen</t>
  </si>
  <si>
    <t xml:space="preserve">D005</t>
  </si>
  <si>
    <t xml:space="preserve">Beta Logistik GmbH</t>
  </si>
  <si>
    <t xml:space="preserve">R-2024-0189</t>
  </si>
  <si>
    <t xml:space="preserve">Inkasso</t>
  </si>
  <si>
    <t xml:space="preserve">Hoch</t>
  </si>
  <si>
    <t xml:space="preserve">An Inkassobüro übergeben 20.02.2025</t>
  </si>
  <si>
    <t xml:space="preserve">D006</t>
  </si>
  <si>
    <t xml:space="preserve">Gamma Handel AG</t>
  </si>
  <si>
    <t xml:space="preserve">R-2025-0071</t>
  </si>
  <si>
    <t xml:space="preserve">D007</t>
  </si>
  <si>
    <t xml:space="preserve">Delta IT GmbH</t>
  </si>
  <si>
    <t xml:space="preserve">R-2025-0080</t>
  </si>
  <si>
    <t xml:space="preserve">Erste Mahnung per E-Mail</t>
  </si>
  <si>
    <t xml:space="preserve">D008</t>
  </si>
  <si>
    <t xml:space="preserve">Epsilon Bau GmbH</t>
  </si>
  <si>
    <t xml:space="preserve">R-2024-0201</t>
  </si>
  <si>
    <t xml:space="preserve">Sehr hoch</t>
  </si>
  <si>
    <t xml:space="preserve">Insolvenzgefahr; EWB gebildet</t>
  </si>
  <si>
    <t xml:space="preserve">Ja</t>
  </si>
  <si>
    <t xml:space="preserve">D009</t>
  </si>
  <si>
    <t xml:space="preserve">Zeta Consulting KG</t>
  </si>
  <si>
    <t xml:space="preserve">R-2025-0045</t>
  </si>
  <si>
    <t xml:space="preserve">D010</t>
  </si>
  <si>
    <t xml:space="preserve">Eta GmbH &amp; Co. KG</t>
  </si>
  <si>
    <t xml:space="preserve">R-2025-0033</t>
  </si>
  <si>
    <t xml:space="preserve">Zahlungsvereinbarung laufend</t>
  </si>
  <si>
    <t xml:space="preserve">GESAMT</t>
  </si>
  <si>
    <t xml:space="preserve">LEGENDE – DSO-FAERBUNG</t>
  </si>
  <si>
    <t xml:space="preserve">1-30 Tage</t>
  </si>
  <si>
    <t xml:space="preserve">31-60 Tage</t>
  </si>
  <si>
    <t xml:space="preserve">&gt;60 Tage</t>
  </si>
  <si>
    <t xml:space="preserve">Blau = Eingabefeld (Bitte ausfuellen)   Gelb = Pflichtfeld</t>
  </si>
  <si>
    <t xml:space="preserve">AGING-ANALYSE – FÄLLIGKEITSBÄNDER</t>
  </si>
  <si>
    <t xml:space="preserve">Automatische Auswertung aus der Forderungsaufstellung</t>
  </si>
  <si>
    <t xml:space="preserve">Fälligkeitsband</t>
  </si>
  <si>
    <t xml:space="preserve">Anzahl
Positionen</t>
  </si>
  <si>
    <t xml:space="preserve">Offener Betrag
(€)</t>
  </si>
  <si>
    <t xml:space="preserve">Netto nach
EWB (€)</t>
  </si>
  <si>
    <t xml:space="preserve">Anteil am
Gesamtportfolio</t>
  </si>
  <si>
    <t xml:space="preserve">Empfohlene Massnahme</t>
  </si>
  <si>
    <t xml:space="preserve">Routineüberwachung</t>
  </si>
  <si>
    <t xml:space="preserve">1–30 Tage überfällig</t>
  </si>
  <si>
    <t xml:space="preserve">1. Mahnung prüfen</t>
  </si>
  <si>
    <t xml:space="preserve">31–60 Tage überfällig</t>
  </si>
  <si>
    <t xml:space="preserve">2. Mahnung, persönlicher Kontakt</t>
  </si>
  <si>
    <t xml:space="preserve">61–90 Tage überfällig</t>
  </si>
  <si>
    <t xml:space="preserve">Letzte Mahnung, Inkasso vorbereiten</t>
  </si>
  <si>
    <t xml:space="preserve">Über 90 Tage überfällig</t>
  </si>
  <si>
    <t xml:space="preserve">Inkasso / Klage / Abschreibung</t>
  </si>
  <si>
    <t xml:space="preserve">PAUSCHALWERTBERICHTIGUNG (PWB)</t>
  </si>
  <si>
    <t xml:space="preserve">PWB-Satz (historische Ausfallquote):</t>
  </si>
  <si>
    <t xml:space="preserve">Typischer Richtwert: 1–3 % der Nettoforderungen (§ 253 HGB)</t>
  </si>
  <si>
    <t xml:space="preserve">Nettoforderungen nach EWB (Gesamt):</t>
  </si>
  <si>
    <t xml:space="preserve">Empfohlene Pauschalwertberichtigung (PWB):</t>
  </si>
  <si>
    <t xml:space="preserve">DSO-RECHNER – DAYS SALES OUTSTANDING</t>
  </si>
  <si>
    <t xml:space="preserve">Berechnung der durchschnittlichen Forderungslaufzeit nach der Formel: DSO = (Offene Forderungen / Umsatz) x Anzahl Tage</t>
  </si>
  <si>
    <t xml:space="preserve">EINGABEN</t>
  </si>
  <si>
    <t xml:space="preserve">Offene Forderungen (€)</t>
  </si>
  <si>
    <t xml:space="preserve">Monat = 30 Tage</t>
  </si>
  <si>
    <t xml:space="preserve">Umsatz im Zeitraum (€)</t>
  </si>
  <si>
    <t xml:space="preserve">Quartal = 90 Tage  |  Halbjahr = 180 Tage  |  Jahr = 365 Tage</t>
  </si>
  <si>
    <t xml:space="preserve">Anzahl Tage im Zeitraum</t>
  </si>
  <si>
    <t xml:space="preserve">ERGEBNIS</t>
  </si>
  <si>
    <t xml:space="preserve">Ihr DSO-Wert:</t>
  </si>
  <si>
    <t xml:space="preserve">DSO-BENCHMARK &amp; BRANCHENRICHTWERTE</t>
  </si>
  <si>
    <t xml:space="preserve">DSO-Bereich</t>
  </si>
  <si>
    <t xml:space="preserve">Bewertung</t>
  </si>
  <si>
    <t xml:space="preserve">Empfehlung</t>
  </si>
  <si>
    <t xml:space="preserve">HGB-Relevanz</t>
  </si>
  <si>
    <t xml:space="preserve">&lt; 30 Tage</t>
  </si>
  <si>
    <t xml:space="preserve">Sehr gut</t>
  </si>
  <si>
    <t xml:space="preserve">Optimales Forderungsmanagement</t>
  </si>
  <si>
    <t xml:space="preserve">Keine Anpassung nötig</t>
  </si>
  <si>
    <t xml:space="preserve">30–45 Tage</t>
  </si>
  <si>
    <t xml:space="preserve">Gut</t>
  </si>
  <si>
    <t xml:space="preserve">Routineüberwachung ausreichend</t>
  </si>
  <si>
    <t xml:space="preserve">Wertberichtigungen prüfen</t>
  </si>
  <si>
    <t xml:space="preserve">45–60 Tage</t>
  </si>
  <si>
    <t xml:space="preserve">Erhöht</t>
  </si>
  <si>
    <t xml:space="preserve">Mahnwesen intensivieren, DSO senken</t>
  </si>
  <si>
    <t xml:space="preserve">EWB für überfällige Posten prüfen</t>
  </si>
  <si>
    <t xml:space="preserve">&gt; 60 Tage</t>
  </si>
  <si>
    <t xml:space="preserve">Kritisch</t>
  </si>
  <si>
    <t xml:space="preserve">Inkasso, Factoring, Kreditlimit prüfen</t>
  </si>
  <si>
    <t xml:space="preserve">EWB/PWB zwingend (§ 253 HGB)</t>
  </si>
  <si>
    <t xml:space="preserve">Ø 1–3 % Ausfallquote</t>
  </si>
  <si>
    <t xml:space="preserve">Branchendurchschnitt</t>
  </si>
  <si>
    <t xml:space="preserve">PWB entsprechend ansetzen</t>
  </si>
  <si>
    <t xml:space="preserve">§ 253 Abs. 4 HGB</t>
  </si>
  <si>
    <t xml:space="preserve">DSO-BERECHNUNG AUS DER FORDERUNGSAUFSTELLUNG (AUTOMATISCH)</t>
  </si>
  <si>
    <t xml:space="preserve">Gesamte offene Forderungen (aus Forderungsaufstellung):</t>
  </si>
  <si>
    <t xml:space="preserve">Quartalsumsatz (Eingabe):</t>
  </si>
  <si>
    <t xml:space="preserve">DSO (Live aus Forderungsaufstellung, Quartalbasis):</t>
  </si>
  <si>
    <t xml:space="preserve">KENNZAHLEN-DASHBOARD – FORDERUNGSMANAGEMENT</t>
  </si>
  <si>
    <t xml:space="preserve">Automatische Auswertung aus Forderungsaufstellung &amp; Aging-Analyse</t>
  </si>
  <si>
    <t xml:space="preserve">SCHLÜSSELKENNZAHLEN (KPIs)</t>
  </si>
  <si>
    <t xml:space="preserve">Gesamtforderungen (brutto)</t>
  </si>
  <si>
    <t xml:space="preserve">Offene Forderungen (gesamt)</t>
  </si>
  <si>
    <t xml:space="preserve">Einzelwertberichtigungen (EWB)</t>
  </si>
  <si>
    <t xml:space="preserve">Nettoforderungen nach EWB</t>
  </si>
  <si>
    <t xml:space="preserve">Summe Rechnungsbeträge</t>
  </si>
  <si>
    <t xml:space="preserve">Noch ausstehende Beträge</t>
  </si>
  <si>
    <t xml:space="preserve">Bewertete Ausfallrisiken (§ 253 HGB)</t>
  </si>
  <si>
    <t xml:space="preserve">Bilanzieller Forderungswert</t>
  </si>
  <si>
    <t xml:space="preserve">Empfohlene PWB (2 %)</t>
  </si>
  <si>
    <t xml:space="preserve">DSO (live, Quartal)</t>
  </si>
  <si>
    <t xml:space="preserve">Anzahl offener Posten</t>
  </si>
  <si>
    <t xml:space="preserve">Inkasso-Forderungen</t>
  </si>
  <si>
    <t xml:space="preserve">Pauschalwertberichtigung (§ 253 HGB)</t>
  </si>
  <si>
    <t xml:space="preserve">Days Sales Outstanding</t>
  </si>
  <si>
    <t xml:space="preserve">Anzahl unbezahlter Rechnungen</t>
  </si>
  <si>
    <t xml:space="preserve">Forderungen im Inkassostatus</t>
  </si>
  <si>
    <t xml:space="preserve">FORDERUNGEN NACH MAHNSTUFE</t>
  </si>
  <si>
    <t xml:space="preserve">Anzahl</t>
  </si>
  <si>
    <t xml:space="preserve">Offener Betrag (€)</t>
  </si>
  <si>
    <t xml:space="preserve">Anteil (%)</t>
  </si>
  <si>
    <t xml:space="preserve">3. Mahnung</t>
  </si>
  <si>
    <t xml:space="preserve">Klage</t>
  </si>
  <si>
    <t xml:space="preserve">Abgeschrieben</t>
  </si>
  <si>
    <t xml:space="preserve">HGB-RELEVANTE VORSCHRIFTEN</t>
  </si>
  <si>
    <t xml:space="preserve">§ 252 Abs. 1 Nr. 3 HGB</t>
  </si>
  <si>
    <t xml:space="preserve">Einzelbewertungsgrundsatz: Jede Forderung ist einzeln zu bewerten</t>
  </si>
  <si>
    <t xml:space="preserve">Niederstwertprinzip: Abwertung bei erkennbarem Ausfallrisiko</t>
  </si>
  <si>
    <t xml:space="preserve">§ 266 Abs. 2 HGB</t>
  </si>
  <si>
    <t xml:space="preserve">Bilanzgliederung: Forderungen aus L&amp;L als eigenständiger Aktivposten</t>
  </si>
  <si>
    <t xml:space="preserve">§ 238 HGB</t>
  </si>
  <si>
    <t xml:space="preserve">Buchführungspflicht: Vollständige und geordnete Erfassung aller Geschäftsvorfälle</t>
  </si>
  <si>
    <t xml:space="preserve">§ 257 HGB</t>
  </si>
  <si>
    <t xml:space="preserve">Aufbewahrungspflicht: Buchführungsunterlagen 10 Jahre aufbewahren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</si>
</sst>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\.mm\.yyyy"/>
    <numFmt numFmtId="166" formatCode="#,##0.00&quot; €&quot;;[RED]\-#,##0.00&quot; €&quot;;\-"/>
    <numFmt numFmtId="167" formatCode="0&quot; Tage&quot;"/>
    <numFmt numFmtId="168" formatCode="General"/>
    <numFmt numFmtId="169" formatCode="0.0%"/>
    <numFmt numFmtId="170" formatCode="0.0&quot; Tage&quot;"/>
    <numFmt numFmtId="171" formatCode="0&quot; Positionen&quot;"/>
  </numFmts>
  <fonts count="3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1F3864"/>
      <name val="Arial"/>
      <family val="0"/>
      <charset val="1"/>
    </font>
    <font>
      <b val="true"/>
      <sz val="9"/>
      <color rgb="FF006100"/>
      <name val="Arial"/>
      <family val="0"/>
      <charset val="1"/>
    </font>
    <font>
      <b val="true"/>
      <sz val="9"/>
      <color rgb="FF9C5700"/>
      <name val="Arial"/>
      <family val="0"/>
      <charset val="1"/>
    </font>
    <font>
      <b val="true"/>
      <sz val="9"/>
      <color rgb="FF9C0006"/>
      <name val="Arial"/>
      <family val="0"/>
      <charset val="1"/>
    </font>
    <font>
      <i val="true"/>
      <sz val="9"/>
      <color rgb="FF2E75B6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9C0006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12"/>
      <color rgb="FF1F3864"/>
      <name val="Arial"/>
      <family val="0"/>
      <charset val="1"/>
    </font>
    <font>
      <b val="true"/>
      <sz val="14"/>
      <color rgb="FF2E75B6"/>
      <name val="Arial"/>
      <family val="0"/>
      <charset val="1"/>
    </font>
    <font>
      <sz val="9"/>
      <color rgb="FF006100"/>
      <name val="Arial"/>
      <family val="0"/>
      <charset val="1"/>
    </font>
    <font>
      <sz val="9"/>
      <color rgb="FF9C5700"/>
      <name val="Arial"/>
      <family val="0"/>
      <charset val="1"/>
    </font>
    <font>
      <sz val="9"/>
      <color rgb="FF9C0006"/>
      <name val="Arial"/>
      <family val="0"/>
      <charset val="1"/>
    </font>
    <font>
      <b val="true"/>
      <sz val="10"/>
      <color rgb="FF0070C0"/>
      <name val="Arial"/>
      <family val="0"/>
      <charset val="1"/>
    </font>
    <font>
      <b val="true"/>
      <sz val="12"/>
      <color rgb="FF2E75B6"/>
      <name val="Arial"/>
      <family val="0"/>
      <charset val="1"/>
    </font>
    <font>
      <b val="true"/>
      <sz val="16"/>
      <color rgb="FF2E75B6"/>
      <name val="Arial"/>
      <family val="0"/>
      <charset val="1"/>
    </font>
    <font>
      <i val="true"/>
      <sz val="8"/>
      <color rgb="FF595959"/>
      <name val="Arial"/>
      <family val="0"/>
      <charset val="1"/>
    </font>
    <font>
      <b val="true"/>
      <sz val="9"/>
      <color rgb="FF2E75B6"/>
      <name val="Arial"/>
      <family val="0"/>
      <charset val="1"/>
    </font>
    <font>
      <sz val="9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2E5FA3"/>
      </patternFill>
    </fill>
    <fill>
      <patternFill patternType="solid">
        <fgColor rgb="FFFFFF00"/>
        <bgColor rgb="FFFFFF00"/>
      </patternFill>
    </fill>
    <fill>
      <patternFill patternType="solid">
        <fgColor rgb="FF2E5FA3"/>
        <bgColor rgb="FF2E75B6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C6EFCE"/>
        <bgColor rgb="FFD9E1F2"/>
      </patternFill>
    </fill>
    <fill>
      <patternFill patternType="solid">
        <fgColor rgb="FFFFEB9C"/>
        <bgColor rgb="FFFCE4D6"/>
      </patternFill>
    </fill>
    <fill>
      <patternFill patternType="solid">
        <fgColor rgb="FFFFC7CE"/>
        <bgColor rgb="FFFCE4D6"/>
      </patternFill>
    </fill>
    <fill>
      <patternFill patternType="solid">
        <fgColor rgb="FFD9E1F2"/>
        <bgColor rgb="FFF2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2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25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9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30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1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31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1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8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8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8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8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8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3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4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3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4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CE4D6"/>
        </patternFill>
      </fill>
    </dxf>
    <dxf>
      <font>
        <b val="1"/>
        <color rgb="FF006100"/>
      </font>
      <fill>
        <patternFill>
          <bgColor rgb="FFC6EFCE"/>
        </patternFill>
      </fill>
    </dxf>
    <dxf>
      <font>
        <b val="1"/>
        <color rgb="FF9C5700"/>
      </font>
      <fill>
        <patternFill>
          <bgColor rgb="FFFFEB9C"/>
        </patternFill>
      </fill>
    </dxf>
    <dxf>
      <font>
        <b val="1"/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FCE4D6"/>
      <rgbColor rgb="FF660066"/>
      <rgbColor rgb="FFFF8080"/>
      <rgbColor rgb="FF0070C0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C5700"/>
      <rgbColor rgb="FF993366"/>
      <rgbColor rgb="FF2E5FA3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2"/>
    <col collapsed="false" customWidth="true" hidden="false" outlineLevel="0" max="4" min="3" style="0" width="12"/>
    <col collapsed="false" customWidth="true" hidden="false" outlineLevel="0" max="5" min="5" style="0" width="14"/>
    <col collapsed="false" customWidth="true" hidden="false" outlineLevel="0" max="7" min="6" style="0" width="13"/>
    <col collapsed="false" customWidth="true" hidden="false" outlineLevel="0" max="8" min="8" style="0" width="11"/>
    <col collapsed="false" customWidth="true" hidden="false" outlineLevel="0" max="10" min="9" style="0" width="13"/>
    <col collapsed="false" customWidth="true" hidden="false" outlineLevel="0" max="11" min="11" style="0" width="11"/>
    <col collapsed="false" customWidth="true" hidden="false" outlineLevel="0" max="12" min="12" style="0" width="14"/>
    <col collapsed="false" customWidth="true" hidden="false" outlineLevel="0" max="13" min="13" style="0" width="9"/>
    <col collapsed="false" customWidth="true" hidden="false" outlineLevel="0" max="14" min="14" style="0" width="14"/>
    <col collapsed="false" customWidth="true" hidden="false" outlineLevel="0" max="15" min="15" style="0" width="13"/>
    <col collapsed="false" customWidth="true" hidden="false" outlineLevel="0" max="16" min="16" style="0" width="14"/>
    <col collapsed="false" customWidth="true" hidden="false" outlineLevel="0" max="17" min="17" style="0" width="22"/>
    <col collapsed="false" customWidth="true" hidden="false" outlineLevel="0" max="18" min="18" style="0" width="9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8" hidden="false" customHeight="true" outlineLevel="0" collapsed="false">
      <c r="A3" s="3" t="s">
        <v>2</v>
      </c>
      <c r="B3" s="3"/>
      <c r="C3" s="3"/>
      <c r="D3" s="3"/>
      <c r="E3" s="4" t="n">
        <f aca="true">TODAY()</f>
        <v>46128</v>
      </c>
      <c r="F3" s="4"/>
      <c r="G3" s="4"/>
      <c r="H3" s="4"/>
      <c r="I3" s="3" t="s">
        <v>3</v>
      </c>
      <c r="J3" s="3"/>
      <c r="K3" s="3"/>
      <c r="L3" s="3"/>
      <c r="M3" s="5"/>
      <c r="N3" s="5"/>
      <c r="O3" s="5"/>
      <c r="P3" s="5"/>
      <c r="Q3" s="5"/>
      <c r="R3" s="5"/>
    </row>
    <row r="4" customFormat="false" ht="6" hidden="false" customHeight="tru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customFormat="false" ht="31.5" hidden="false" customHeight="true" outlineLevel="0" collapsed="false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  <c r="N5" s="7" t="s">
        <v>17</v>
      </c>
      <c r="O5" s="7" t="s">
        <v>18</v>
      </c>
      <c r="P5" s="7" t="s">
        <v>19</v>
      </c>
      <c r="Q5" s="7" t="s">
        <v>20</v>
      </c>
      <c r="R5" s="7" t="s">
        <v>21</v>
      </c>
    </row>
    <row r="6" customFormat="false" ht="15" hidden="false" customHeight="false" outlineLevel="0" collapsed="false">
      <c r="A6" s="8" t="s">
        <v>22</v>
      </c>
      <c r="B6" s="9" t="s">
        <v>23</v>
      </c>
      <c r="C6" s="8" t="s">
        <v>24</v>
      </c>
      <c r="D6" s="10" t="n">
        <v>45672</v>
      </c>
      <c r="E6" s="10" t="n">
        <v>45702</v>
      </c>
      <c r="F6" s="11" t="n">
        <v>12500</v>
      </c>
      <c r="G6" s="11" t="n">
        <v>12500</v>
      </c>
      <c r="H6" s="12" t="n">
        <f aca="false">IF(E6="","",MAX(0,$E$3-E6))</f>
        <v>426</v>
      </c>
      <c r="I6" s="8" t="s">
        <v>25</v>
      </c>
      <c r="J6" s="8" t="s">
        <v>26</v>
      </c>
      <c r="K6" s="13" t="n">
        <f aca="false">IF(J6="Sehr hoch",G6,IF(J6="Hoch",G6*0.5,IF(J6="Mittel",G6*0.2,0)))</f>
        <v>2500</v>
      </c>
      <c r="L6" s="13" t="n">
        <f aca="false">G6-K6</f>
        <v>10000</v>
      </c>
      <c r="M6" s="8" t="s">
        <v>27</v>
      </c>
      <c r="N6" s="8" t="s">
        <v>28</v>
      </c>
      <c r="O6" s="8" t="s">
        <v>29</v>
      </c>
      <c r="P6" s="9" t="s">
        <v>30</v>
      </c>
      <c r="Q6" s="14" t="s">
        <v>31</v>
      </c>
      <c r="R6" s="8" t="s">
        <v>32</v>
      </c>
    </row>
    <row r="7" customFormat="false" ht="15" hidden="false" customHeight="false" outlineLevel="0" collapsed="false">
      <c r="A7" s="15" t="s">
        <v>33</v>
      </c>
      <c r="B7" s="16" t="s">
        <v>34</v>
      </c>
      <c r="C7" s="15" t="s">
        <v>35</v>
      </c>
      <c r="D7" s="17" t="n">
        <v>45677</v>
      </c>
      <c r="E7" s="17" t="n">
        <v>45707</v>
      </c>
      <c r="F7" s="18" t="n">
        <v>8750</v>
      </c>
      <c r="G7" s="18" t="n">
        <v>8750</v>
      </c>
      <c r="H7" s="19" t="n">
        <f aca="false">IF(E7="","",MAX(0,$E$3-E7))</f>
        <v>421</v>
      </c>
      <c r="I7" s="15" t="s">
        <v>36</v>
      </c>
      <c r="J7" s="15" t="s">
        <v>37</v>
      </c>
      <c r="K7" s="20" t="n">
        <f aca="false">IF(J7="Sehr hoch",G7,IF(J7="Hoch",G7*0.5,IF(J7="Mittel",G7*0.2,0)))</f>
        <v>0</v>
      </c>
      <c r="L7" s="20" t="n">
        <f aca="false">G7-K7</f>
        <v>8750</v>
      </c>
      <c r="M7" s="15" t="s">
        <v>27</v>
      </c>
      <c r="N7" s="15" t="s">
        <v>28</v>
      </c>
      <c r="O7" s="15" t="s">
        <v>38</v>
      </c>
      <c r="P7" s="16"/>
      <c r="Q7" s="21" t="s">
        <v>39</v>
      </c>
      <c r="R7" s="15" t="s">
        <v>32</v>
      </c>
    </row>
    <row r="8" customFormat="false" ht="15" hidden="false" customHeight="false" outlineLevel="0" collapsed="false">
      <c r="A8" s="8" t="s">
        <v>40</v>
      </c>
      <c r="B8" s="9" t="s">
        <v>41</v>
      </c>
      <c r="C8" s="8" t="s">
        <v>42</v>
      </c>
      <c r="D8" s="10" t="n">
        <v>45685</v>
      </c>
      <c r="E8" s="10" t="n">
        <v>45743</v>
      </c>
      <c r="F8" s="11" t="n">
        <v>45000</v>
      </c>
      <c r="G8" s="11" t="n">
        <v>45000</v>
      </c>
      <c r="H8" s="12" t="n">
        <f aca="false">IF(E8="","",MAX(0,$E$3-E8))</f>
        <v>385</v>
      </c>
      <c r="I8" s="8" t="s">
        <v>43</v>
      </c>
      <c r="J8" s="8" t="s">
        <v>37</v>
      </c>
      <c r="K8" s="13" t="n">
        <f aca="false">IF(J8="Sehr hoch",G8,IF(J8="Hoch",G8*0.5,IF(J8="Mittel",G8*0.2,0)))</f>
        <v>0</v>
      </c>
      <c r="L8" s="13" t="n">
        <f aca="false">G8-K8</f>
        <v>45000</v>
      </c>
      <c r="M8" s="8" t="s">
        <v>27</v>
      </c>
      <c r="N8" s="8" t="s">
        <v>44</v>
      </c>
      <c r="O8" s="8" t="s">
        <v>29</v>
      </c>
      <c r="P8" s="9" t="s">
        <v>45</v>
      </c>
      <c r="Q8" s="14" t="s">
        <v>46</v>
      </c>
      <c r="R8" s="8" t="s">
        <v>32</v>
      </c>
    </row>
    <row r="9" customFormat="false" ht="15" hidden="false" customHeight="false" outlineLevel="0" collapsed="false">
      <c r="A9" s="15" t="s">
        <v>47</v>
      </c>
      <c r="B9" s="16" t="s">
        <v>48</v>
      </c>
      <c r="C9" s="15" t="s">
        <v>49</v>
      </c>
      <c r="D9" s="17" t="n">
        <v>45662</v>
      </c>
      <c r="E9" s="17" t="n">
        <v>45692</v>
      </c>
      <c r="F9" s="18" t="n">
        <v>19200</v>
      </c>
      <c r="G9" s="18" t="n">
        <v>9600</v>
      </c>
      <c r="H9" s="19" t="n">
        <f aca="false">IF(E9="","",MAX(0,$E$3-E9))</f>
        <v>436</v>
      </c>
      <c r="I9" s="15" t="s">
        <v>25</v>
      </c>
      <c r="J9" s="15" t="s">
        <v>26</v>
      </c>
      <c r="K9" s="20" t="n">
        <f aca="false">IF(J9="Sehr hoch",G9,IF(J9="Hoch",G9*0.5,IF(J9="Mittel",G9*0.2,0)))</f>
        <v>1920</v>
      </c>
      <c r="L9" s="20" t="n">
        <f aca="false">G9-K9</f>
        <v>7680</v>
      </c>
      <c r="M9" s="15" t="s">
        <v>27</v>
      </c>
      <c r="N9" s="15" t="s">
        <v>28</v>
      </c>
      <c r="O9" s="15" t="s">
        <v>50</v>
      </c>
      <c r="P9" s="16"/>
      <c r="Q9" s="21" t="s">
        <v>51</v>
      </c>
      <c r="R9" s="15" t="s">
        <v>32</v>
      </c>
    </row>
    <row r="10" customFormat="false" ht="15" hidden="false" customHeight="false" outlineLevel="0" collapsed="false">
      <c r="A10" s="8" t="s">
        <v>52</v>
      </c>
      <c r="B10" s="9" t="s">
        <v>53</v>
      </c>
      <c r="C10" s="8" t="s">
        <v>54</v>
      </c>
      <c r="D10" s="10" t="n">
        <v>45636</v>
      </c>
      <c r="E10" s="10" t="n">
        <v>45666</v>
      </c>
      <c r="F10" s="11" t="n">
        <v>33000</v>
      </c>
      <c r="G10" s="11" t="n">
        <v>33000</v>
      </c>
      <c r="H10" s="12" t="n">
        <f aca="false">IF(E10="","",MAX(0,$E$3-E10))</f>
        <v>462</v>
      </c>
      <c r="I10" s="8" t="s">
        <v>55</v>
      </c>
      <c r="J10" s="8" t="s">
        <v>56</v>
      </c>
      <c r="K10" s="13" t="n">
        <f aca="false">IF(J10="Sehr hoch",G10,IF(J10="Hoch",G10*0.5,IF(J10="Mittel",G10*0.2,0)))</f>
        <v>16500</v>
      </c>
      <c r="L10" s="13" t="n">
        <f aca="false">G10-K10</f>
        <v>16500</v>
      </c>
      <c r="M10" s="8" t="s">
        <v>27</v>
      </c>
      <c r="N10" s="8" t="s">
        <v>28</v>
      </c>
      <c r="O10" s="8" t="s">
        <v>38</v>
      </c>
      <c r="P10" s="9"/>
      <c r="Q10" s="14" t="s">
        <v>57</v>
      </c>
      <c r="R10" s="8" t="s">
        <v>32</v>
      </c>
    </row>
    <row r="11" customFormat="false" ht="15" hidden="false" customHeight="false" outlineLevel="0" collapsed="false">
      <c r="A11" s="15" t="s">
        <v>58</v>
      </c>
      <c r="B11" s="16" t="s">
        <v>59</v>
      </c>
      <c r="C11" s="15" t="s">
        <v>60</v>
      </c>
      <c r="D11" s="17" t="n">
        <v>45689</v>
      </c>
      <c r="E11" s="17" t="n">
        <v>45719</v>
      </c>
      <c r="F11" s="18" t="n">
        <v>6200</v>
      </c>
      <c r="G11" s="18" t="n">
        <v>6200</v>
      </c>
      <c r="H11" s="19" t="n">
        <f aca="false">IF(E11="","",MAX(0,$E$3-E11))</f>
        <v>409</v>
      </c>
      <c r="I11" s="15" t="s">
        <v>43</v>
      </c>
      <c r="J11" s="15" t="s">
        <v>37</v>
      </c>
      <c r="K11" s="20" t="n">
        <f aca="false">IF(J11="Sehr hoch",G11,IF(J11="Hoch",G11*0.5,IF(J11="Mittel",G11*0.2,0)))</f>
        <v>0</v>
      </c>
      <c r="L11" s="20" t="n">
        <f aca="false">G11-K11</f>
        <v>6200</v>
      </c>
      <c r="M11" s="15" t="s">
        <v>27</v>
      </c>
      <c r="N11" s="15" t="s">
        <v>28</v>
      </c>
      <c r="O11" s="15" t="s">
        <v>29</v>
      </c>
      <c r="P11" s="16"/>
      <c r="Q11" s="21"/>
      <c r="R11" s="15" t="s">
        <v>32</v>
      </c>
    </row>
    <row r="12" customFormat="false" ht="15" hidden="false" customHeight="false" outlineLevel="0" collapsed="false">
      <c r="A12" s="8" t="s">
        <v>61</v>
      </c>
      <c r="B12" s="9" t="s">
        <v>62</v>
      </c>
      <c r="C12" s="8" t="s">
        <v>63</v>
      </c>
      <c r="D12" s="10" t="n">
        <v>45693</v>
      </c>
      <c r="E12" s="10" t="n">
        <v>45723</v>
      </c>
      <c r="F12" s="11" t="n">
        <v>14800</v>
      </c>
      <c r="G12" s="11" t="n">
        <v>14800</v>
      </c>
      <c r="H12" s="12" t="n">
        <f aca="false">IF(E12="","",MAX(0,$E$3-E12))</f>
        <v>405</v>
      </c>
      <c r="I12" s="8" t="s">
        <v>36</v>
      </c>
      <c r="J12" s="8" t="s">
        <v>37</v>
      </c>
      <c r="K12" s="13" t="n">
        <f aca="false">IF(J12="Sehr hoch",G12,IF(J12="Hoch",G12*0.5,IF(J12="Mittel",G12*0.2,0)))</f>
        <v>0</v>
      </c>
      <c r="L12" s="13" t="n">
        <f aca="false">G12-K12</f>
        <v>14800</v>
      </c>
      <c r="M12" s="8" t="s">
        <v>27</v>
      </c>
      <c r="N12" s="8" t="s">
        <v>28</v>
      </c>
      <c r="O12" s="8" t="s">
        <v>50</v>
      </c>
      <c r="P12" s="9"/>
      <c r="Q12" s="14" t="s">
        <v>64</v>
      </c>
      <c r="R12" s="8" t="s">
        <v>32</v>
      </c>
    </row>
    <row r="13" customFormat="false" ht="15" hidden="false" customHeight="false" outlineLevel="0" collapsed="false">
      <c r="A13" s="15" t="s">
        <v>65</v>
      </c>
      <c r="B13" s="16" t="s">
        <v>66</v>
      </c>
      <c r="C13" s="15" t="s">
        <v>67</v>
      </c>
      <c r="D13" s="17" t="n">
        <v>45616</v>
      </c>
      <c r="E13" s="17" t="n">
        <v>45646</v>
      </c>
      <c r="F13" s="18" t="n">
        <v>27500</v>
      </c>
      <c r="G13" s="18" t="n">
        <v>27500</v>
      </c>
      <c r="H13" s="19" t="n">
        <f aca="false">IF(E13="","",MAX(0,$E$3-E13))</f>
        <v>482</v>
      </c>
      <c r="I13" s="15" t="s">
        <v>55</v>
      </c>
      <c r="J13" s="15" t="s">
        <v>68</v>
      </c>
      <c r="K13" s="20" t="n">
        <f aca="false">IF(J13="Sehr hoch",G13,IF(J13="Hoch",G13*0.5,IF(J13="Mittel",G13*0.2,0)))</f>
        <v>27500</v>
      </c>
      <c r="L13" s="20" t="n">
        <f aca="false">G13-K13</f>
        <v>0</v>
      </c>
      <c r="M13" s="15" t="s">
        <v>27</v>
      </c>
      <c r="N13" s="15" t="s">
        <v>28</v>
      </c>
      <c r="O13" s="15" t="s">
        <v>38</v>
      </c>
      <c r="P13" s="16"/>
      <c r="Q13" s="21" t="s">
        <v>69</v>
      </c>
      <c r="R13" s="15" t="s">
        <v>70</v>
      </c>
    </row>
    <row r="14" customFormat="false" ht="15" hidden="false" customHeight="false" outlineLevel="0" collapsed="false">
      <c r="A14" s="8" t="s">
        <v>71</v>
      </c>
      <c r="B14" s="9" t="s">
        <v>72</v>
      </c>
      <c r="C14" s="8" t="s">
        <v>73</v>
      </c>
      <c r="D14" s="10" t="n">
        <v>45675</v>
      </c>
      <c r="E14" s="10" t="n">
        <v>45705</v>
      </c>
      <c r="F14" s="11" t="n">
        <v>5500</v>
      </c>
      <c r="G14" s="11" t="n">
        <v>5500</v>
      </c>
      <c r="H14" s="12" t="n">
        <f aca="false">IF(E14="","",MAX(0,$E$3-E14))</f>
        <v>423</v>
      </c>
      <c r="I14" s="8" t="s">
        <v>36</v>
      </c>
      <c r="J14" s="8" t="s">
        <v>37</v>
      </c>
      <c r="K14" s="13" t="n">
        <f aca="false">IF(J14="Sehr hoch",G14,IF(J14="Hoch",G14*0.5,IF(J14="Mittel",G14*0.2,0)))</f>
        <v>0</v>
      </c>
      <c r="L14" s="13" t="n">
        <f aca="false">G14-K14</f>
        <v>5500</v>
      </c>
      <c r="M14" s="8" t="s">
        <v>27</v>
      </c>
      <c r="N14" s="8" t="s">
        <v>28</v>
      </c>
      <c r="O14" s="8" t="s">
        <v>29</v>
      </c>
      <c r="P14" s="9"/>
      <c r="Q14" s="14"/>
      <c r="R14" s="8" t="s">
        <v>32</v>
      </c>
    </row>
    <row r="15" customFormat="false" ht="15" hidden="false" customHeight="false" outlineLevel="0" collapsed="false">
      <c r="A15" s="15" t="s">
        <v>74</v>
      </c>
      <c r="B15" s="16" t="s">
        <v>75</v>
      </c>
      <c r="C15" s="15" t="s">
        <v>76</v>
      </c>
      <c r="D15" s="17" t="n">
        <v>45669</v>
      </c>
      <c r="E15" s="17" t="n">
        <v>45699</v>
      </c>
      <c r="F15" s="18" t="n">
        <v>22000</v>
      </c>
      <c r="G15" s="18" t="n">
        <v>22000</v>
      </c>
      <c r="H15" s="19" t="n">
        <f aca="false">IF(E15="","",MAX(0,$E$3-E15))</f>
        <v>429</v>
      </c>
      <c r="I15" s="15" t="s">
        <v>25</v>
      </c>
      <c r="J15" s="15" t="s">
        <v>26</v>
      </c>
      <c r="K15" s="20" t="n">
        <f aca="false">IF(J15="Sehr hoch",G15,IF(J15="Hoch",G15*0.5,IF(J15="Mittel",G15*0.2,0)))</f>
        <v>4400</v>
      </c>
      <c r="L15" s="20" t="n">
        <f aca="false">G15-K15</f>
        <v>17600</v>
      </c>
      <c r="M15" s="15" t="s">
        <v>27</v>
      </c>
      <c r="N15" s="15" t="s">
        <v>28</v>
      </c>
      <c r="O15" s="15" t="s">
        <v>50</v>
      </c>
      <c r="P15" s="16" t="s">
        <v>30</v>
      </c>
      <c r="Q15" s="21" t="s">
        <v>77</v>
      </c>
      <c r="R15" s="15" t="s">
        <v>32</v>
      </c>
    </row>
    <row r="16" customFormat="false" ht="15" hidden="false" customHeight="false" outlineLevel="0" collapsed="false">
      <c r="A16" s="22"/>
      <c r="B16" s="22"/>
      <c r="C16" s="22"/>
      <c r="D16" s="22"/>
      <c r="E16" s="22"/>
      <c r="F16" s="23"/>
      <c r="G16" s="23"/>
      <c r="H16" s="12" t="str">
        <f aca="false">IF(E16="","",MAX(0,$E$3-E16))</f>
        <v/>
      </c>
      <c r="I16" s="22"/>
      <c r="J16" s="22"/>
      <c r="K16" s="13" t="n">
        <f aca="false">IF(J16="Sehr hoch",G16,IF(J16="Hoch",G16*0.5,IF(J16="Mittel",G16*0.2,0)))</f>
        <v>0</v>
      </c>
      <c r="L16" s="13" t="str">
        <f aca="false">IF(G16="","",G16-K16)</f>
        <v/>
      </c>
      <c r="M16" s="22"/>
      <c r="N16" s="22"/>
      <c r="O16" s="22"/>
      <c r="P16" s="22"/>
      <c r="Q16" s="22"/>
      <c r="R16" s="22"/>
    </row>
    <row r="17" customFormat="false" ht="15" hidden="false" customHeight="false" outlineLevel="0" collapsed="false">
      <c r="A17" s="24"/>
      <c r="B17" s="24"/>
      <c r="C17" s="24"/>
      <c r="D17" s="24"/>
      <c r="E17" s="24"/>
      <c r="F17" s="25"/>
      <c r="G17" s="25"/>
      <c r="H17" s="19" t="str">
        <f aca="false">IF(E17="","",MAX(0,$E$3-E17))</f>
        <v/>
      </c>
      <c r="I17" s="24"/>
      <c r="J17" s="24"/>
      <c r="K17" s="20" t="n">
        <f aca="false">IF(J17="Sehr hoch",G17,IF(J17="Hoch",G17*0.5,IF(J17="Mittel",G17*0.2,0)))</f>
        <v>0</v>
      </c>
      <c r="L17" s="20" t="str">
        <f aca="false">IF(G17="","",G17-K17)</f>
        <v/>
      </c>
      <c r="M17" s="24"/>
      <c r="N17" s="24"/>
      <c r="O17" s="24"/>
      <c r="P17" s="24"/>
      <c r="Q17" s="24"/>
      <c r="R17" s="24"/>
    </row>
    <row r="18" customFormat="false" ht="15" hidden="false" customHeight="false" outlineLevel="0" collapsed="false">
      <c r="A18" s="22"/>
      <c r="B18" s="22"/>
      <c r="C18" s="22"/>
      <c r="D18" s="22"/>
      <c r="E18" s="22"/>
      <c r="F18" s="23"/>
      <c r="G18" s="23"/>
      <c r="H18" s="12" t="str">
        <f aca="false">IF(E18="","",MAX(0,$E$3-E18))</f>
        <v/>
      </c>
      <c r="I18" s="22"/>
      <c r="J18" s="22"/>
      <c r="K18" s="13" t="n">
        <f aca="false">IF(J18="Sehr hoch",G18,IF(J18="Hoch",G18*0.5,IF(J18="Mittel",G18*0.2,0)))</f>
        <v>0</v>
      </c>
      <c r="L18" s="13" t="str">
        <f aca="false">IF(G18="","",G18-K18)</f>
        <v/>
      </c>
      <c r="M18" s="22"/>
      <c r="N18" s="22"/>
      <c r="O18" s="22"/>
      <c r="P18" s="22"/>
      <c r="Q18" s="22"/>
      <c r="R18" s="22"/>
    </row>
    <row r="19" customFormat="false" ht="15" hidden="false" customHeight="false" outlineLevel="0" collapsed="false">
      <c r="A19" s="24"/>
      <c r="B19" s="24"/>
      <c r="C19" s="24"/>
      <c r="D19" s="24"/>
      <c r="E19" s="24"/>
      <c r="F19" s="25"/>
      <c r="G19" s="25"/>
      <c r="H19" s="19" t="str">
        <f aca="false">IF(E19="","",MAX(0,$E$3-E19))</f>
        <v/>
      </c>
      <c r="I19" s="24"/>
      <c r="J19" s="24"/>
      <c r="K19" s="20" t="n">
        <f aca="false">IF(J19="Sehr hoch",G19,IF(J19="Hoch",G19*0.5,IF(J19="Mittel",G19*0.2,0)))</f>
        <v>0</v>
      </c>
      <c r="L19" s="20" t="str">
        <f aca="false">IF(G19="","",G19-K19)</f>
        <v/>
      </c>
      <c r="M19" s="24"/>
      <c r="N19" s="24"/>
      <c r="O19" s="24"/>
      <c r="P19" s="24"/>
      <c r="Q19" s="24"/>
      <c r="R19" s="24"/>
    </row>
    <row r="20" customFormat="false" ht="15" hidden="false" customHeight="false" outlineLevel="0" collapsed="false">
      <c r="A20" s="22"/>
      <c r="B20" s="22"/>
      <c r="C20" s="22"/>
      <c r="D20" s="22"/>
      <c r="E20" s="22"/>
      <c r="F20" s="23"/>
      <c r="G20" s="23"/>
      <c r="H20" s="12" t="str">
        <f aca="false">IF(E20="","",MAX(0,$E$3-E20))</f>
        <v/>
      </c>
      <c r="I20" s="22"/>
      <c r="J20" s="22"/>
      <c r="K20" s="13" t="n">
        <f aca="false">IF(J20="Sehr hoch",G20,IF(J20="Hoch",G20*0.5,IF(J20="Mittel",G20*0.2,0)))</f>
        <v>0</v>
      </c>
      <c r="L20" s="13" t="str">
        <f aca="false">IF(G20="","",G20-K20)</f>
        <v/>
      </c>
      <c r="M20" s="22"/>
      <c r="N20" s="22"/>
      <c r="O20" s="22"/>
      <c r="P20" s="22"/>
      <c r="Q20" s="22"/>
      <c r="R20" s="22"/>
    </row>
    <row r="21" customFormat="false" ht="15" hidden="false" customHeight="false" outlineLevel="0" collapsed="false">
      <c r="A21" s="24"/>
      <c r="B21" s="24"/>
      <c r="C21" s="24"/>
      <c r="D21" s="24"/>
      <c r="E21" s="24"/>
      <c r="F21" s="25"/>
      <c r="G21" s="25"/>
      <c r="H21" s="19" t="str">
        <f aca="false">IF(E21="","",MAX(0,$E$3-E21))</f>
        <v/>
      </c>
      <c r="I21" s="24"/>
      <c r="J21" s="24"/>
      <c r="K21" s="20" t="n">
        <f aca="false">IF(J21="Sehr hoch",G21,IF(J21="Hoch",G21*0.5,IF(J21="Mittel",G21*0.2,0)))</f>
        <v>0</v>
      </c>
      <c r="L21" s="20" t="str">
        <f aca="false">IF(G21="","",G21-K21)</f>
        <v/>
      </c>
      <c r="M21" s="24"/>
      <c r="N21" s="24"/>
      <c r="O21" s="24"/>
      <c r="P21" s="24"/>
      <c r="Q21" s="24"/>
      <c r="R21" s="24"/>
    </row>
    <row r="22" customFormat="false" ht="15" hidden="false" customHeight="false" outlineLevel="0" collapsed="false">
      <c r="A22" s="22"/>
      <c r="B22" s="22"/>
      <c r="C22" s="22"/>
      <c r="D22" s="22"/>
      <c r="E22" s="22"/>
      <c r="F22" s="23"/>
      <c r="G22" s="23"/>
      <c r="H22" s="12" t="str">
        <f aca="false">IF(E22="","",MAX(0,$E$3-E22))</f>
        <v/>
      </c>
      <c r="I22" s="22"/>
      <c r="J22" s="22"/>
      <c r="K22" s="13" t="n">
        <f aca="false">IF(J22="Sehr hoch",G22,IF(J22="Hoch",G22*0.5,IF(J22="Mittel",G22*0.2,0)))</f>
        <v>0</v>
      </c>
      <c r="L22" s="13" t="str">
        <f aca="false">IF(G22="","",G22-K22)</f>
        <v/>
      </c>
      <c r="M22" s="22"/>
      <c r="N22" s="22"/>
      <c r="O22" s="22"/>
      <c r="P22" s="22"/>
      <c r="Q22" s="22"/>
      <c r="R22" s="22"/>
    </row>
    <row r="23" customFormat="false" ht="15" hidden="false" customHeight="false" outlineLevel="0" collapsed="false">
      <c r="A23" s="24"/>
      <c r="B23" s="24"/>
      <c r="C23" s="24"/>
      <c r="D23" s="24"/>
      <c r="E23" s="24"/>
      <c r="F23" s="25"/>
      <c r="G23" s="25"/>
      <c r="H23" s="19" t="str">
        <f aca="false">IF(E23="","",MAX(0,$E$3-E23))</f>
        <v/>
      </c>
      <c r="I23" s="24"/>
      <c r="J23" s="24"/>
      <c r="K23" s="20" t="n">
        <f aca="false">IF(J23="Sehr hoch",G23,IF(J23="Hoch",G23*0.5,IF(J23="Mittel",G23*0.2,0)))</f>
        <v>0</v>
      </c>
      <c r="L23" s="20" t="str">
        <f aca="false">IF(G23="","",G23-K23)</f>
        <v/>
      </c>
      <c r="M23" s="24"/>
      <c r="N23" s="24"/>
      <c r="O23" s="24"/>
      <c r="P23" s="24"/>
      <c r="Q23" s="24"/>
      <c r="R23" s="24"/>
    </row>
    <row r="24" customFormat="false" ht="15" hidden="false" customHeight="false" outlineLevel="0" collapsed="false">
      <c r="A24" s="22"/>
      <c r="B24" s="22"/>
      <c r="C24" s="22"/>
      <c r="D24" s="22"/>
      <c r="E24" s="22"/>
      <c r="F24" s="23"/>
      <c r="G24" s="23"/>
      <c r="H24" s="12" t="str">
        <f aca="false">IF(E24="","",MAX(0,$E$3-E24))</f>
        <v/>
      </c>
      <c r="I24" s="22"/>
      <c r="J24" s="22"/>
      <c r="K24" s="13" t="n">
        <f aca="false">IF(J24="Sehr hoch",G24,IF(J24="Hoch",G24*0.5,IF(J24="Mittel",G24*0.2,0)))</f>
        <v>0</v>
      </c>
      <c r="L24" s="13" t="str">
        <f aca="false">IF(G24="","",G24-K24)</f>
        <v/>
      </c>
      <c r="M24" s="22"/>
      <c r="N24" s="22"/>
      <c r="O24" s="22"/>
      <c r="P24" s="22"/>
      <c r="Q24" s="22"/>
      <c r="R24" s="22"/>
    </row>
    <row r="25" customFormat="false" ht="15" hidden="false" customHeight="false" outlineLevel="0" collapsed="false">
      <c r="A25" s="24"/>
      <c r="B25" s="24"/>
      <c r="C25" s="24"/>
      <c r="D25" s="24"/>
      <c r="E25" s="24"/>
      <c r="F25" s="25"/>
      <c r="G25" s="25"/>
      <c r="H25" s="19" t="str">
        <f aca="false">IF(E25="","",MAX(0,$E$3-E25))</f>
        <v/>
      </c>
      <c r="I25" s="24"/>
      <c r="J25" s="24"/>
      <c r="K25" s="20" t="n">
        <f aca="false">IF(J25="Sehr hoch",G25,IF(J25="Hoch",G25*0.5,IF(J25="Mittel",G25*0.2,0)))</f>
        <v>0</v>
      </c>
      <c r="L25" s="20" t="str">
        <f aca="false">IF(G25="","",G25-K25)</f>
        <v/>
      </c>
      <c r="M25" s="24"/>
      <c r="N25" s="24"/>
      <c r="O25" s="24"/>
      <c r="P25" s="24"/>
      <c r="Q25" s="24"/>
      <c r="R25" s="24"/>
    </row>
    <row r="26" customFormat="false" ht="15" hidden="false" customHeight="false" outlineLevel="0" collapsed="false">
      <c r="A26" s="22"/>
      <c r="B26" s="22"/>
      <c r="C26" s="22"/>
      <c r="D26" s="22"/>
      <c r="E26" s="22"/>
      <c r="F26" s="23"/>
      <c r="G26" s="23"/>
      <c r="H26" s="12" t="str">
        <f aca="false">IF(E26="","",MAX(0,$E$3-E26))</f>
        <v/>
      </c>
      <c r="I26" s="22"/>
      <c r="J26" s="22"/>
      <c r="K26" s="13" t="n">
        <f aca="false">IF(J26="Sehr hoch",G26,IF(J26="Hoch",G26*0.5,IF(J26="Mittel",G26*0.2,0)))</f>
        <v>0</v>
      </c>
      <c r="L26" s="13" t="str">
        <f aca="false">IF(G26="","",G26-K26)</f>
        <v/>
      </c>
      <c r="M26" s="22"/>
      <c r="N26" s="22"/>
      <c r="O26" s="22"/>
      <c r="P26" s="22"/>
      <c r="Q26" s="22"/>
      <c r="R26" s="22"/>
    </row>
    <row r="27" customFormat="false" ht="15" hidden="false" customHeight="false" outlineLevel="0" collapsed="false">
      <c r="A27" s="24"/>
      <c r="B27" s="24"/>
      <c r="C27" s="24"/>
      <c r="D27" s="24"/>
      <c r="E27" s="24"/>
      <c r="F27" s="25"/>
      <c r="G27" s="25"/>
      <c r="H27" s="19" t="str">
        <f aca="false">IF(E27="","",MAX(0,$E$3-E27))</f>
        <v/>
      </c>
      <c r="I27" s="24"/>
      <c r="J27" s="24"/>
      <c r="K27" s="20" t="n">
        <f aca="false">IF(J27="Sehr hoch",G27,IF(J27="Hoch",G27*0.5,IF(J27="Mittel",G27*0.2,0)))</f>
        <v>0</v>
      </c>
      <c r="L27" s="20" t="str">
        <f aca="false">IF(G27="","",G27-K27)</f>
        <v/>
      </c>
      <c r="M27" s="24"/>
      <c r="N27" s="24"/>
      <c r="O27" s="24"/>
      <c r="P27" s="24"/>
      <c r="Q27" s="24"/>
      <c r="R27" s="24"/>
    </row>
    <row r="28" customFormat="false" ht="15" hidden="false" customHeight="false" outlineLevel="0" collapsed="false">
      <c r="A28" s="22"/>
      <c r="B28" s="22"/>
      <c r="C28" s="22"/>
      <c r="D28" s="22"/>
      <c r="E28" s="22"/>
      <c r="F28" s="23"/>
      <c r="G28" s="23"/>
      <c r="H28" s="12" t="str">
        <f aca="false">IF(E28="","",MAX(0,$E$3-E28))</f>
        <v/>
      </c>
      <c r="I28" s="22"/>
      <c r="J28" s="22"/>
      <c r="K28" s="13" t="n">
        <f aca="false">IF(J28="Sehr hoch",G28,IF(J28="Hoch",G28*0.5,IF(J28="Mittel",G28*0.2,0)))</f>
        <v>0</v>
      </c>
      <c r="L28" s="13" t="str">
        <f aca="false">IF(G28="","",G28-K28)</f>
        <v/>
      </c>
      <c r="M28" s="22"/>
      <c r="N28" s="22"/>
      <c r="O28" s="22"/>
      <c r="P28" s="22"/>
      <c r="Q28" s="22"/>
      <c r="R28" s="22"/>
    </row>
    <row r="29" customFormat="false" ht="15" hidden="false" customHeight="false" outlineLevel="0" collapsed="false">
      <c r="A29" s="24"/>
      <c r="B29" s="24"/>
      <c r="C29" s="24"/>
      <c r="D29" s="24"/>
      <c r="E29" s="24"/>
      <c r="F29" s="25"/>
      <c r="G29" s="25"/>
      <c r="H29" s="19" t="str">
        <f aca="false">IF(E29="","",MAX(0,$E$3-E29))</f>
        <v/>
      </c>
      <c r="I29" s="24"/>
      <c r="J29" s="24"/>
      <c r="K29" s="20" t="n">
        <f aca="false">IF(J29="Sehr hoch",G29,IF(J29="Hoch",G29*0.5,IF(J29="Mittel",G29*0.2,0)))</f>
        <v>0</v>
      </c>
      <c r="L29" s="20" t="str">
        <f aca="false">IF(G29="","",G29-K29)</f>
        <v/>
      </c>
      <c r="M29" s="24"/>
      <c r="N29" s="24"/>
      <c r="O29" s="24"/>
      <c r="P29" s="24"/>
      <c r="Q29" s="24"/>
      <c r="R29" s="24"/>
    </row>
    <row r="30" customFormat="false" ht="15" hidden="false" customHeight="false" outlineLevel="0" collapsed="false">
      <c r="A30" s="22"/>
      <c r="B30" s="22"/>
      <c r="C30" s="22"/>
      <c r="D30" s="22"/>
      <c r="E30" s="22"/>
      <c r="F30" s="23"/>
      <c r="G30" s="23"/>
      <c r="H30" s="12" t="str">
        <f aca="false">IF(E30="","",MAX(0,$E$3-E30))</f>
        <v/>
      </c>
      <c r="I30" s="22"/>
      <c r="J30" s="22"/>
      <c r="K30" s="13" t="n">
        <f aca="false">IF(J30="Sehr hoch",G30,IF(J30="Hoch",G30*0.5,IF(J30="Mittel",G30*0.2,0)))</f>
        <v>0</v>
      </c>
      <c r="L30" s="13" t="str">
        <f aca="false">IF(G30="","",G30-K30)</f>
        <v/>
      </c>
      <c r="M30" s="22"/>
      <c r="N30" s="22"/>
      <c r="O30" s="22"/>
      <c r="P30" s="22"/>
      <c r="Q30" s="22"/>
      <c r="R30" s="22"/>
    </row>
    <row r="31" customFormat="false" ht="15" hidden="false" customHeight="false" outlineLevel="0" collapsed="false">
      <c r="A31" s="24"/>
      <c r="B31" s="24"/>
      <c r="C31" s="24"/>
      <c r="D31" s="24"/>
      <c r="E31" s="24"/>
      <c r="F31" s="25"/>
      <c r="G31" s="25"/>
      <c r="H31" s="19" t="str">
        <f aca="false">IF(E31="","",MAX(0,$E$3-E31))</f>
        <v/>
      </c>
      <c r="I31" s="24"/>
      <c r="J31" s="24"/>
      <c r="K31" s="20" t="n">
        <f aca="false">IF(J31="Sehr hoch",G31,IF(J31="Hoch",G31*0.5,IF(J31="Mittel",G31*0.2,0)))</f>
        <v>0</v>
      </c>
      <c r="L31" s="20" t="str">
        <f aca="false">IF(G31="","",G31-K31)</f>
        <v/>
      </c>
      <c r="M31" s="24"/>
      <c r="N31" s="24"/>
      <c r="O31" s="24"/>
      <c r="P31" s="24"/>
      <c r="Q31" s="24"/>
      <c r="R31" s="24"/>
    </row>
    <row r="32" customFormat="false" ht="15" hidden="false" customHeight="false" outlineLevel="0" collapsed="false">
      <c r="A32" s="22"/>
      <c r="B32" s="22"/>
      <c r="C32" s="22"/>
      <c r="D32" s="22"/>
      <c r="E32" s="22"/>
      <c r="F32" s="23"/>
      <c r="G32" s="23"/>
      <c r="H32" s="12" t="str">
        <f aca="false">IF(E32="","",MAX(0,$E$3-E32))</f>
        <v/>
      </c>
      <c r="I32" s="22"/>
      <c r="J32" s="22"/>
      <c r="K32" s="13" t="n">
        <f aca="false">IF(J32="Sehr hoch",G32,IF(J32="Hoch",G32*0.5,IF(J32="Mittel",G32*0.2,0)))</f>
        <v>0</v>
      </c>
      <c r="L32" s="13" t="str">
        <f aca="false">IF(G32="","",G32-K32)</f>
        <v/>
      </c>
      <c r="M32" s="22"/>
      <c r="N32" s="22"/>
      <c r="O32" s="22"/>
      <c r="P32" s="22"/>
      <c r="Q32" s="22"/>
      <c r="R32" s="22"/>
    </row>
    <row r="33" customFormat="false" ht="15" hidden="false" customHeight="false" outlineLevel="0" collapsed="false">
      <c r="A33" s="24"/>
      <c r="B33" s="24"/>
      <c r="C33" s="24"/>
      <c r="D33" s="24"/>
      <c r="E33" s="24"/>
      <c r="F33" s="25"/>
      <c r="G33" s="25"/>
      <c r="H33" s="19" t="str">
        <f aca="false">IF(E33="","",MAX(0,$E$3-E33))</f>
        <v/>
      </c>
      <c r="I33" s="24"/>
      <c r="J33" s="24"/>
      <c r="K33" s="20" t="n">
        <f aca="false">IF(J33="Sehr hoch",G33,IF(J33="Hoch",G33*0.5,IF(J33="Mittel",G33*0.2,0)))</f>
        <v>0</v>
      </c>
      <c r="L33" s="20" t="str">
        <f aca="false">IF(G33="","",G33-K33)</f>
        <v/>
      </c>
      <c r="M33" s="24"/>
      <c r="N33" s="24"/>
      <c r="O33" s="24"/>
      <c r="P33" s="24"/>
      <c r="Q33" s="24"/>
      <c r="R33" s="24"/>
    </row>
    <row r="34" customFormat="false" ht="15" hidden="false" customHeight="false" outlineLevel="0" collapsed="false">
      <c r="A34" s="22"/>
      <c r="B34" s="22"/>
      <c r="C34" s="22"/>
      <c r="D34" s="22"/>
      <c r="E34" s="22"/>
      <c r="F34" s="23"/>
      <c r="G34" s="23"/>
      <c r="H34" s="12" t="str">
        <f aca="false">IF(E34="","",MAX(0,$E$3-E34))</f>
        <v/>
      </c>
      <c r="I34" s="22"/>
      <c r="J34" s="22"/>
      <c r="K34" s="13" t="n">
        <f aca="false">IF(J34="Sehr hoch",G34,IF(J34="Hoch",G34*0.5,IF(J34="Mittel",G34*0.2,0)))</f>
        <v>0</v>
      </c>
      <c r="L34" s="13" t="str">
        <f aca="false">IF(G34="","",G34-K34)</f>
        <v/>
      </c>
      <c r="M34" s="22"/>
      <c r="N34" s="22"/>
      <c r="O34" s="22"/>
      <c r="P34" s="22"/>
      <c r="Q34" s="22"/>
      <c r="R34" s="22"/>
    </row>
    <row r="35" customFormat="false" ht="15" hidden="false" customHeight="false" outlineLevel="0" collapsed="false">
      <c r="A35" s="24"/>
      <c r="B35" s="24"/>
      <c r="C35" s="24"/>
      <c r="D35" s="24"/>
      <c r="E35" s="24"/>
      <c r="F35" s="25"/>
      <c r="G35" s="25"/>
      <c r="H35" s="19" t="str">
        <f aca="false">IF(E35="","",MAX(0,$E$3-E35))</f>
        <v/>
      </c>
      <c r="I35" s="24"/>
      <c r="J35" s="24"/>
      <c r="K35" s="20" t="n">
        <f aca="false">IF(J35="Sehr hoch",G35,IF(J35="Hoch",G35*0.5,IF(J35="Mittel",G35*0.2,0)))</f>
        <v>0</v>
      </c>
      <c r="L35" s="20" t="str">
        <f aca="false">IF(G35="","",G35-K35)</f>
        <v/>
      </c>
      <c r="M35" s="24"/>
      <c r="N35" s="24"/>
      <c r="O35" s="24"/>
      <c r="P35" s="24"/>
      <c r="Q35" s="24"/>
      <c r="R35" s="24"/>
    </row>
    <row r="36" customFormat="false" ht="19.5" hidden="false" customHeight="true" outlineLevel="0" collapsed="false">
      <c r="A36" s="26" t="s">
        <v>78</v>
      </c>
      <c r="B36" s="26"/>
      <c r="C36" s="26"/>
      <c r="D36" s="26"/>
      <c r="E36" s="26"/>
      <c r="F36" s="27" t="n">
        <f aca="false">SUM(F6:F35)</f>
        <v>194450</v>
      </c>
      <c r="G36" s="27" t="n">
        <f aca="false">SUM(G6:G35)</f>
        <v>184850</v>
      </c>
      <c r="H36" s="27"/>
      <c r="I36" s="28"/>
      <c r="J36" s="28"/>
      <c r="K36" s="27" t="n">
        <f aca="false">SUM(K6:K35)</f>
        <v>52820</v>
      </c>
      <c r="L36" s="27" t="n">
        <f aca="false">SUM(L6:L35)</f>
        <v>132030</v>
      </c>
      <c r="M36" s="28"/>
      <c r="N36" s="28"/>
      <c r="O36" s="28"/>
      <c r="P36" s="28"/>
      <c r="Q36" s="28"/>
      <c r="R36" s="28"/>
    </row>
    <row r="38" customFormat="false" ht="15" hidden="false" customHeight="false" outlineLevel="0" collapsed="false">
      <c r="A38" s="29" t="s">
        <v>79</v>
      </c>
      <c r="B38" s="29"/>
      <c r="C38" s="29"/>
      <c r="D38" s="30" t="s">
        <v>80</v>
      </c>
      <c r="F38" s="31" t="s">
        <v>81</v>
      </c>
      <c r="H38" s="32" t="s">
        <v>82</v>
      </c>
      <c r="J38" s="33" t="s">
        <v>83</v>
      </c>
      <c r="K38" s="33"/>
      <c r="L38" s="33"/>
      <c r="M38" s="33"/>
      <c r="N38" s="33"/>
    </row>
  </sheetData>
  <mergeCells count="10">
    <mergeCell ref="A1:R1"/>
    <mergeCell ref="A2:R2"/>
    <mergeCell ref="A3:D3"/>
    <mergeCell ref="E3:H3"/>
    <mergeCell ref="I3:L3"/>
    <mergeCell ref="M3:R3"/>
    <mergeCell ref="A4:R4"/>
    <mergeCell ref="A36:E36"/>
    <mergeCell ref="A38:C38"/>
    <mergeCell ref="J38:N38"/>
  </mergeCells>
  <conditionalFormatting sqref="H6:H35">
    <cfRule type="cellIs" priority="2" operator="between" aboveAverage="0" equalAverage="0" bottom="0" percent="0" rank="0" text="" dxfId="0">
      <formula>1</formula>
      <formula>30</formula>
    </cfRule>
    <cfRule type="cellIs" priority="3" operator="between" aboveAverage="0" equalAverage="0" bottom="0" percent="0" rank="0" text="" dxfId="1">
      <formula>31</formula>
      <formula>60</formula>
    </cfRule>
    <cfRule type="cellIs" priority="4" operator="greaterThan" aboveAverage="0" equalAverage="0" bottom="0" percent="0" rank="0" text="" dxfId="2">
      <formula>60</formula>
    </cfRule>
  </conditionalFormatting>
  <conditionalFormatting sqref="A6:R35">
    <cfRule type="expression" priority="5" aboveAverage="0" equalAverage="0" bottom="0" percent="0" rank="0" text="" dxfId="3">
      <formula>$R6="Ja"</formula>
    </cfRule>
  </conditionalFormatting>
  <dataValidations count="4">
    <dataValidation allowBlank="true" errorStyle="stop" operator="between" showDropDown="false" showErrorMessage="false" showInputMessage="false" sqref="I6:I35" type="list">
      <formula1>"Keine,1. Mahnung,2. Mahnung,3. Mahnung,Inkasso,Klage,Abgeschrieben"</formula1>
      <formula2>0</formula2>
    </dataValidation>
    <dataValidation allowBlank="true" errorStyle="stop" operator="between" showDropDown="false" showErrorMessage="false" showInputMessage="false" sqref="J6:J35" type="list">
      <formula1>"Niedrig,Mittel,Hoch,Sehr hoch"</formula1>
      <formula2>0</formula2>
    </dataValidation>
    <dataValidation allowBlank="true" errorStyle="stop" operator="between" showDropDown="false" showErrorMessage="false" showInputMessage="false" sqref="R6:R35" type="list">
      <formula1>"Ja,Nein"</formula1>
      <formula2>0</formula2>
    </dataValidation>
    <dataValidation allowBlank="true" errorStyle="stop" operator="between" showDropDown="false" showErrorMessage="false" showInputMessage="false" sqref="M6:M35" type="list">
      <formula1>"EUR,USD,GBP,CHF,JPY"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2"/>
    <col collapsed="false" customWidth="true" hidden="false" outlineLevel="0" max="5" min="3" style="0" width="18"/>
    <col collapsed="false" customWidth="true" hidden="false" outlineLevel="0" max="6" min="6" style="0" width="16"/>
    <col collapsed="false" customWidth="true" hidden="false" outlineLevel="0" max="7" min="7" style="0" width="32"/>
  </cols>
  <sheetData>
    <row r="1" customFormat="false" ht="25.5" hidden="false" customHeight="true" outlineLevel="0" collapsed="false">
      <c r="A1" s="34" t="s">
        <v>84</v>
      </c>
      <c r="B1" s="34"/>
      <c r="C1" s="34"/>
      <c r="D1" s="34"/>
      <c r="E1" s="34"/>
      <c r="F1" s="34"/>
      <c r="G1" s="34"/>
    </row>
    <row r="2" customFormat="false" ht="15" hidden="false" customHeight="true" outlineLevel="0" collapsed="false">
      <c r="A2" s="2" t="s">
        <v>85</v>
      </c>
      <c r="B2" s="2"/>
      <c r="C2" s="2"/>
      <c r="D2" s="2"/>
      <c r="E2" s="2"/>
      <c r="F2" s="2"/>
      <c r="G2" s="2"/>
    </row>
    <row r="4" customFormat="false" ht="30" hidden="false" customHeight="true" outlineLevel="0" collapsed="false">
      <c r="A4" s="7" t="s">
        <v>86</v>
      </c>
      <c r="B4" s="7" t="s">
        <v>87</v>
      </c>
      <c r="C4" s="7" t="s">
        <v>88</v>
      </c>
      <c r="D4" s="7" t="s">
        <v>14</v>
      </c>
      <c r="E4" s="7" t="s">
        <v>89</v>
      </c>
      <c r="F4" s="7" t="s">
        <v>90</v>
      </c>
      <c r="G4" s="7" t="s">
        <v>91</v>
      </c>
    </row>
    <row r="5" customFormat="false" ht="19.5" hidden="false" customHeight="true" outlineLevel="0" collapsed="false">
      <c r="A5" s="35" t="s">
        <v>46</v>
      </c>
      <c r="B5" s="36" t="n">
        <f aca="false">COUNTIFS(Forderungsaufstellung!H6:H35,0)</f>
        <v>0</v>
      </c>
      <c r="C5" s="37" t="n">
        <f aca="false">SUMPRODUCT((Forderungsaufstellung!H6:H35=0)*(Forderungsaufstellung!G6:G35&lt;&gt;"")*(Forderungsaufstellung!G6:G35))</f>
        <v>0</v>
      </c>
      <c r="D5" s="37" t="n">
        <f aca="false">SUMPRODUCT((Forderungsaufstellung!H6:H35=0)*(Forderungsaufstellung!K6:K35&lt;&gt;"")*(Forderungsaufstellung!K6:K35))</f>
        <v>0</v>
      </c>
      <c r="E5" s="37" t="n">
        <f aca="false">C5-D5</f>
        <v>0</v>
      </c>
      <c r="F5" s="38" t="n">
        <f aca="false">IFERROR(C5/SUM($C$5:$C$9),"-")</f>
        <v>0</v>
      </c>
      <c r="G5" s="39" t="s">
        <v>92</v>
      </c>
    </row>
    <row r="6" customFormat="false" ht="19.5" hidden="false" customHeight="true" outlineLevel="0" collapsed="false">
      <c r="A6" s="40" t="s">
        <v>93</v>
      </c>
      <c r="B6" s="41" t="n">
        <f aca="false">COUNTIFS(Forderungsaufstellung!H6:H35,"&gt;0",Forderungsaufstellung!H6:H35,"&lt;=30")</f>
        <v>0</v>
      </c>
      <c r="C6" s="42" t="n">
        <f aca="false">SUMPRODUCT((Forderungsaufstellung!H6:H35&gt;0)*(Forderungsaufstellung!H6:H35&lt;=30)*(Forderungsaufstellung!G6:G35&lt;&gt;"")*(Forderungsaufstellung!G6:G35))</f>
        <v>0</v>
      </c>
      <c r="D6" s="42" t="n">
        <f aca="false">SUMPRODUCT((Forderungsaufstellung!H6:H35&gt;0)*(Forderungsaufstellung!H6:H35&lt;=30)*(Forderungsaufstellung!K6:K35&lt;&gt;"")*(Forderungsaufstellung!K6:K35))</f>
        <v>0</v>
      </c>
      <c r="E6" s="42" t="n">
        <f aca="false">C6-D6</f>
        <v>0</v>
      </c>
      <c r="F6" s="43" t="n">
        <f aca="false">IFERROR(C6/SUM($C$5:$C$9),"-")</f>
        <v>0</v>
      </c>
      <c r="G6" s="44" t="s">
        <v>94</v>
      </c>
    </row>
    <row r="7" customFormat="false" ht="19.5" hidden="false" customHeight="true" outlineLevel="0" collapsed="false">
      <c r="A7" s="35" t="s">
        <v>95</v>
      </c>
      <c r="B7" s="36" t="n">
        <f aca="false">COUNTIFS(Forderungsaufstellung!H6:H35,"&gt;30",Forderungsaufstellung!H6:H35,"&lt;=60")</f>
        <v>0</v>
      </c>
      <c r="C7" s="37" t="n">
        <f aca="false">SUMPRODUCT((Forderungsaufstellung!H6:H35&gt;30)*(Forderungsaufstellung!H6:H35&lt;=60)*(Forderungsaufstellung!G6:G35&lt;&gt;"")*(Forderungsaufstellung!G6:G35))</f>
        <v>0</v>
      </c>
      <c r="D7" s="37" t="n">
        <f aca="false">SUMPRODUCT((Forderungsaufstellung!H6:H35&gt;30)*(Forderungsaufstellung!H6:H35&lt;=60)*(Forderungsaufstellung!K6:K35&lt;&gt;"")*(Forderungsaufstellung!K6:K35))</f>
        <v>0</v>
      </c>
      <c r="E7" s="37" t="n">
        <f aca="false">C7-D7</f>
        <v>0</v>
      </c>
      <c r="F7" s="38" t="n">
        <f aca="false">IFERROR(C7/SUM($C$5:$C$9),"-")</f>
        <v>0</v>
      </c>
      <c r="G7" s="39" t="s">
        <v>96</v>
      </c>
    </row>
    <row r="8" customFormat="false" ht="19.5" hidden="false" customHeight="true" outlineLevel="0" collapsed="false">
      <c r="A8" s="40" t="s">
        <v>97</v>
      </c>
      <c r="B8" s="41" t="n">
        <f aca="false">COUNTIFS(Forderungsaufstellung!H6:H35,"&gt;60",Forderungsaufstellung!H6:H35,"&lt;=90")</f>
        <v>0</v>
      </c>
      <c r="C8" s="42" t="n">
        <f aca="false">SUMPRODUCT((Forderungsaufstellung!H6:H35&gt;60)*(Forderungsaufstellung!H6:H35&lt;=90)*(Forderungsaufstellung!G6:G35&lt;&gt;"")*(Forderungsaufstellung!G6:G35))</f>
        <v>0</v>
      </c>
      <c r="D8" s="42" t="n">
        <f aca="false">SUMPRODUCT((Forderungsaufstellung!H6:H35&gt;60)*(Forderungsaufstellung!H6:H35&lt;=90)*(Forderungsaufstellung!K6:K35&lt;&gt;"")*(Forderungsaufstellung!K6:K35))</f>
        <v>0</v>
      </c>
      <c r="E8" s="42" t="n">
        <f aca="false">C8-D8</f>
        <v>0</v>
      </c>
      <c r="F8" s="43" t="n">
        <f aca="false">IFERROR(C8/SUM($C$5:$C$9),"-")</f>
        <v>0</v>
      </c>
      <c r="G8" s="44" t="s">
        <v>98</v>
      </c>
    </row>
    <row r="9" customFormat="false" ht="19.5" hidden="false" customHeight="true" outlineLevel="0" collapsed="false">
      <c r="A9" s="35" t="s">
        <v>99</v>
      </c>
      <c r="B9" s="36" t="n">
        <f aca="false">COUNTIFS(Forderungsaufstellung!H6:H35,"&gt;90")</f>
        <v>10</v>
      </c>
      <c r="C9" s="37" t="n">
        <f aca="false">SUMPRODUCT((Forderungsaufstellung!H6:H35&gt;90)*(Forderungsaufstellung!G6:G35&lt;&gt;"")*(Forderungsaufstellung!G6:G35))</f>
        <v>184850</v>
      </c>
      <c r="D9" s="37" t="n">
        <f aca="false">SUMPRODUCT((Forderungsaufstellung!H6:H35&gt;90)*(Forderungsaufstellung!K6:K35&lt;&gt;"")*(Forderungsaufstellung!K6:K35))</f>
        <v>52820</v>
      </c>
      <c r="E9" s="37" t="n">
        <f aca="false">C9-D9</f>
        <v>132030</v>
      </c>
      <c r="F9" s="38" t="n">
        <f aca="false">IFERROR(C9/SUM($C$5:$C$9),"-")</f>
        <v>1</v>
      </c>
      <c r="G9" s="39" t="s">
        <v>100</v>
      </c>
    </row>
    <row r="10" customFormat="false" ht="19.5" hidden="false" customHeight="true" outlineLevel="0" collapsed="false">
      <c r="A10" s="45" t="s">
        <v>78</v>
      </c>
      <c r="B10" s="45" t="n">
        <f aca="false">SUM(B5:B9)</f>
        <v>10</v>
      </c>
      <c r="C10" s="27" t="n">
        <f aca="false">SUM(C5:C9)</f>
        <v>184850</v>
      </c>
      <c r="D10" s="27" t="n">
        <f aca="false">SUM(D5:D9)</f>
        <v>52820</v>
      </c>
      <c r="E10" s="27" t="n">
        <f aca="false">SUM(E5:E9)</f>
        <v>132030</v>
      </c>
      <c r="F10" s="46" t="n">
        <f aca="false">IFERROR(C10/C10,"-")</f>
        <v>1</v>
      </c>
      <c r="G10" s="28"/>
    </row>
    <row r="12" customFormat="false" ht="21.75" hidden="false" customHeight="true" outlineLevel="0" collapsed="false">
      <c r="A12" s="47" t="s">
        <v>101</v>
      </c>
      <c r="B12" s="47"/>
      <c r="C12" s="47"/>
      <c r="D12" s="47"/>
      <c r="E12" s="47"/>
      <c r="F12" s="47"/>
      <c r="G12" s="47"/>
    </row>
    <row r="13" customFormat="false" ht="15" hidden="false" customHeight="false" outlineLevel="0" collapsed="false">
      <c r="A13" s="48" t="s">
        <v>102</v>
      </c>
      <c r="B13" s="48"/>
      <c r="C13" s="48"/>
      <c r="D13" s="49" t="n">
        <v>0.02</v>
      </c>
      <c r="E13" s="50" t="s">
        <v>103</v>
      </c>
      <c r="F13" s="50"/>
      <c r="G13" s="50"/>
    </row>
    <row r="14" customFormat="false" ht="15" hidden="false" customHeight="false" outlineLevel="0" collapsed="false">
      <c r="A14" s="51" t="s">
        <v>104</v>
      </c>
      <c r="B14" s="51"/>
      <c r="C14" s="51"/>
      <c r="D14" s="52" t="n">
        <f aca="false">E10</f>
        <v>132030</v>
      </c>
    </row>
    <row r="15" customFormat="false" ht="15" hidden="false" customHeight="false" outlineLevel="0" collapsed="false">
      <c r="A15" s="51" t="s">
        <v>105</v>
      </c>
      <c r="B15" s="51"/>
      <c r="C15" s="51"/>
      <c r="D15" s="53" t="n">
        <f aca="false">D13*D14</f>
        <v>2640.6</v>
      </c>
    </row>
  </sheetData>
  <mergeCells count="7">
    <mergeCell ref="A1:G1"/>
    <mergeCell ref="A2:G2"/>
    <mergeCell ref="A12:G12"/>
    <mergeCell ref="A13:C13"/>
    <mergeCell ref="E13:G13"/>
    <mergeCell ref="A14:C14"/>
    <mergeCell ref="A15:C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3" min="2" style="0" width="20"/>
    <col collapsed="false" customWidth="true" hidden="false" outlineLevel="0" max="4" min="4" style="0" width="30"/>
  </cols>
  <sheetData>
    <row r="1" customFormat="false" ht="25.5" hidden="false" customHeight="true" outlineLevel="0" collapsed="false">
      <c r="A1" s="34" t="s">
        <v>106</v>
      </c>
      <c r="B1" s="34"/>
      <c r="C1" s="34"/>
      <c r="D1" s="34"/>
    </row>
    <row r="2" customFormat="false" ht="19.5" hidden="false" customHeight="true" outlineLevel="0" collapsed="false">
      <c r="A2" s="54" t="s">
        <v>107</v>
      </c>
      <c r="B2" s="54"/>
      <c r="C2" s="54"/>
      <c r="D2" s="54"/>
    </row>
    <row r="3" customFormat="false" ht="9.75" hidden="false" customHeight="true" outlineLevel="0" collapsed="false">
      <c r="A3" s="6"/>
      <c r="B3" s="6"/>
      <c r="C3" s="6"/>
      <c r="D3" s="6"/>
    </row>
    <row r="4" customFormat="false" ht="21.75" hidden="false" customHeight="true" outlineLevel="0" collapsed="false">
      <c r="A4" s="47" t="s">
        <v>108</v>
      </c>
      <c r="B4" s="47"/>
      <c r="C4" s="47"/>
      <c r="D4" s="47"/>
    </row>
    <row r="5" customFormat="false" ht="19.5" hidden="false" customHeight="true" outlineLevel="0" collapsed="false">
      <c r="A5" s="55" t="s">
        <v>109</v>
      </c>
      <c r="B5" s="56" t="n">
        <v>150000</v>
      </c>
      <c r="C5" s="57" t="s">
        <v>110</v>
      </c>
      <c r="D5" s="57"/>
    </row>
    <row r="6" customFormat="false" ht="19.5" hidden="false" customHeight="true" outlineLevel="0" collapsed="false">
      <c r="A6" s="55" t="s">
        <v>111</v>
      </c>
      <c r="B6" s="56" t="n">
        <v>600000</v>
      </c>
      <c r="C6" s="57" t="s">
        <v>112</v>
      </c>
      <c r="D6" s="57"/>
    </row>
    <row r="7" customFormat="false" ht="19.5" hidden="false" customHeight="true" outlineLevel="0" collapsed="false">
      <c r="A7" s="55" t="s">
        <v>113</v>
      </c>
      <c r="B7" s="58" t="n">
        <v>90</v>
      </c>
      <c r="C7" s="6"/>
      <c r="D7" s="6"/>
    </row>
    <row r="9" customFormat="false" ht="21.75" hidden="false" customHeight="true" outlineLevel="0" collapsed="false">
      <c r="A9" s="47" t="s">
        <v>114</v>
      </c>
      <c r="B9" s="47"/>
      <c r="C9" s="47"/>
      <c r="D9" s="47"/>
    </row>
    <row r="10" customFormat="false" ht="30" hidden="false" customHeight="true" outlineLevel="0" collapsed="false">
      <c r="A10" s="59" t="s">
        <v>115</v>
      </c>
      <c r="B10" s="60" t="n">
        <f aca="false">IFERROR((B5/B6)*B7,"-")</f>
        <v>22.5</v>
      </c>
      <c r="C10" s="61" t="str">
        <f aca="false">IF(ISNUMBER(B10),IF(B10&lt;30,"Sehr gut – DSO unter 30 Tage (Ziel erreicht)",IF(B10&lt;=45,"Gut – im Normalbereich (30–45 Tage)",IF(B10&lt;=60,"Erhöht – Mahnwesen prüfen (45–60 Tage)","Kritisch – sofortiger Handlungsbedarf (&gt; 60 Tage)"))),"Bitte Eingaben prüfen")</f>
        <v>Sehr gut – DSO unter 30 Tage (Ziel erreicht)</v>
      </c>
      <c r="D10" s="61"/>
    </row>
    <row r="12" customFormat="false" ht="21.75" hidden="false" customHeight="true" outlineLevel="0" collapsed="false">
      <c r="A12" s="47" t="s">
        <v>116</v>
      </c>
      <c r="B12" s="47"/>
      <c r="C12" s="47"/>
      <c r="D12" s="47"/>
    </row>
    <row r="13" customFormat="false" ht="19.5" hidden="false" customHeight="true" outlineLevel="0" collapsed="false">
      <c r="A13" s="62" t="s">
        <v>117</v>
      </c>
      <c r="B13" s="62" t="s">
        <v>118</v>
      </c>
      <c r="C13" s="62" t="s">
        <v>119</v>
      </c>
      <c r="D13" s="62" t="s">
        <v>120</v>
      </c>
    </row>
    <row r="14" customFormat="false" ht="19.5" hidden="false" customHeight="true" outlineLevel="0" collapsed="false">
      <c r="A14" s="63" t="s">
        <v>121</v>
      </c>
      <c r="B14" s="63" t="s">
        <v>122</v>
      </c>
      <c r="C14" s="63" t="s">
        <v>123</v>
      </c>
      <c r="D14" s="63" t="s">
        <v>124</v>
      </c>
    </row>
    <row r="15" customFormat="false" ht="19.5" hidden="false" customHeight="true" outlineLevel="0" collapsed="false">
      <c r="A15" s="64" t="s">
        <v>125</v>
      </c>
      <c r="B15" s="64" t="s">
        <v>126</v>
      </c>
      <c r="C15" s="64" t="s">
        <v>127</v>
      </c>
      <c r="D15" s="64" t="s">
        <v>128</v>
      </c>
    </row>
    <row r="16" customFormat="false" ht="19.5" hidden="false" customHeight="true" outlineLevel="0" collapsed="false">
      <c r="A16" s="65" t="s">
        <v>129</v>
      </c>
      <c r="B16" s="65" t="s">
        <v>130</v>
      </c>
      <c r="C16" s="65" t="s">
        <v>131</v>
      </c>
      <c r="D16" s="65" t="s">
        <v>132</v>
      </c>
    </row>
    <row r="17" customFormat="false" ht="19.5" hidden="false" customHeight="true" outlineLevel="0" collapsed="false">
      <c r="A17" s="65" t="s">
        <v>133</v>
      </c>
      <c r="B17" s="65" t="s">
        <v>134</v>
      </c>
      <c r="C17" s="65" t="s">
        <v>135</v>
      </c>
      <c r="D17" s="65" t="s">
        <v>136</v>
      </c>
    </row>
    <row r="18" customFormat="false" ht="19.5" hidden="false" customHeight="true" outlineLevel="0" collapsed="false">
      <c r="A18" s="21" t="s">
        <v>137</v>
      </c>
      <c r="B18" s="21" t="s">
        <v>138</v>
      </c>
      <c r="C18" s="21" t="s">
        <v>139</v>
      </c>
      <c r="D18" s="21" t="s">
        <v>140</v>
      </c>
    </row>
    <row r="20" customFormat="false" ht="21.75" hidden="false" customHeight="true" outlineLevel="0" collapsed="false">
      <c r="A20" s="66" t="s">
        <v>141</v>
      </c>
      <c r="B20" s="66"/>
      <c r="C20" s="66"/>
      <c r="D20" s="66"/>
    </row>
    <row r="21" customFormat="false" ht="19.5" hidden="false" customHeight="true" outlineLevel="0" collapsed="false">
      <c r="A21" s="51" t="s">
        <v>142</v>
      </c>
      <c r="B21" s="51"/>
      <c r="C21" s="51"/>
      <c r="D21" s="67" t="n">
        <f aca="false">Forderungsaufstellung!G36</f>
        <v>184850</v>
      </c>
    </row>
    <row r="22" customFormat="false" ht="19.5" hidden="false" customHeight="true" outlineLevel="0" collapsed="false">
      <c r="A22" s="51" t="s">
        <v>143</v>
      </c>
      <c r="B22" s="51"/>
      <c r="C22" s="51"/>
      <c r="D22" s="56" t="n">
        <v>600000</v>
      </c>
    </row>
    <row r="23" customFormat="false" ht="19.5" hidden="false" customHeight="true" outlineLevel="0" collapsed="false">
      <c r="A23" s="51" t="s">
        <v>144</v>
      </c>
      <c r="B23" s="51"/>
      <c r="C23" s="51"/>
      <c r="D23" s="68" t="n">
        <f aca="false">IFERROR((D21/D22)*90,"-")</f>
        <v>27.7275</v>
      </c>
    </row>
  </sheetData>
  <mergeCells count="14">
    <mergeCell ref="A1:D1"/>
    <mergeCell ref="A2:D2"/>
    <mergeCell ref="A3:D3"/>
    <mergeCell ref="A4:D4"/>
    <mergeCell ref="C5:D5"/>
    <mergeCell ref="C6:D6"/>
    <mergeCell ref="C7:D7"/>
    <mergeCell ref="A9:D9"/>
    <mergeCell ref="C10:D10"/>
    <mergeCell ref="A12:D12"/>
    <mergeCell ref="A20:D20"/>
    <mergeCell ref="A21:C21"/>
    <mergeCell ref="A22:C22"/>
    <mergeCell ref="A23:C23"/>
  </mergeCells>
  <conditionalFormatting sqref="B10">
    <cfRule type="cellIs" priority="2" operator="lessThan" aboveAverage="0" equalAverage="0" bottom="0" percent="0" rank="0" text="" dxfId="4">
      <formula>30</formula>
    </cfRule>
    <cfRule type="cellIs" priority="3" operator="between" aboveAverage="0" equalAverage="0" bottom="0" percent="0" rank="0" text="" dxfId="5">
      <formula>30</formula>
      <formula>45</formula>
    </cfRule>
    <cfRule type="cellIs" priority="4" operator="greaterThan" aboveAverage="0" equalAverage="0" bottom="0" percent="0" rank="0" text="" dxfId="6">
      <formula>45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8" min="2" style="0" width="18"/>
  </cols>
  <sheetData>
    <row r="1" customFormat="false" ht="25.5" hidden="false" customHeight="true" outlineLevel="0" collapsed="false">
      <c r="A1" s="34" t="s">
        <v>145</v>
      </c>
      <c r="B1" s="34"/>
      <c r="C1" s="34"/>
      <c r="D1" s="34"/>
      <c r="E1" s="34"/>
      <c r="F1" s="34"/>
      <c r="G1" s="34"/>
      <c r="H1" s="34"/>
    </row>
    <row r="2" customFormat="false" ht="18" hidden="false" customHeight="true" outlineLevel="0" collapsed="false">
      <c r="A2" s="2" t="s">
        <v>146</v>
      </c>
      <c r="B2" s="2"/>
      <c r="C2" s="2"/>
      <c r="D2" s="2"/>
      <c r="E2" s="2"/>
      <c r="F2" s="2"/>
      <c r="G2" s="2"/>
      <c r="H2" s="2"/>
    </row>
    <row r="4" customFormat="false" ht="21.75" hidden="false" customHeight="true" outlineLevel="0" collapsed="false">
      <c r="A4" s="47" t="s">
        <v>147</v>
      </c>
      <c r="B4" s="47"/>
      <c r="C4" s="47"/>
      <c r="D4" s="47"/>
      <c r="E4" s="47"/>
      <c r="F4" s="47"/>
      <c r="G4" s="47"/>
      <c r="H4" s="47"/>
    </row>
    <row r="5" customFormat="false" ht="18" hidden="false" customHeight="true" outlineLevel="0" collapsed="false">
      <c r="A5" s="69" t="s">
        <v>148</v>
      </c>
      <c r="B5" s="69"/>
      <c r="C5" s="69" t="s">
        <v>149</v>
      </c>
      <c r="D5" s="69"/>
      <c r="E5" s="69" t="s">
        <v>150</v>
      </c>
      <c r="F5" s="69"/>
      <c r="G5" s="69" t="s">
        <v>151</v>
      </c>
      <c r="H5" s="69"/>
    </row>
    <row r="6" customFormat="false" ht="30" hidden="false" customHeight="true" outlineLevel="0" collapsed="false">
      <c r="A6" s="70" t="n">
        <f aca="false">Forderungsaufstellung!F36</f>
        <v>194450</v>
      </c>
      <c r="B6" s="70"/>
      <c r="C6" s="70" t="n">
        <f aca="false">Forderungsaufstellung!G36</f>
        <v>184850</v>
      </c>
      <c r="D6" s="70"/>
      <c r="E6" s="70" t="n">
        <f aca="false">Forderungsaufstellung!K36</f>
        <v>52820</v>
      </c>
      <c r="F6" s="70"/>
      <c r="G6" s="70" t="n">
        <f aca="false">Forderungsaufstellung!L36</f>
        <v>132030</v>
      </c>
      <c r="H6" s="70"/>
    </row>
    <row r="7" customFormat="false" ht="15.75" hidden="false" customHeight="true" outlineLevel="0" collapsed="false">
      <c r="A7" s="71" t="s">
        <v>152</v>
      </c>
      <c r="B7" s="71"/>
      <c r="C7" s="71" t="s">
        <v>153</v>
      </c>
      <c r="D7" s="71"/>
      <c r="E7" s="71" t="s">
        <v>154</v>
      </c>
      <c r="F7" s="71"/>
      <c r="G7" s="71" t="s">
        <v>155</v>
      </c>
      <c r="H7" s="71"/>
    </row>
    <row r="8" customFormat="false" ht="6" hidden="false" customHeight="true" outlineLevel="0" collapsed="false"/>
    <row r="9" customFormat="false" ht="18" hidden="false" customHeight="true" outlineLevel="0" collapsed="false">
      <c r="A9" s="69" t="s">
        <v>156</v>
      </c>
      <c r="B9" s="69"/>
      <c r="C9" s="69" t="s">
        <v>157</v>
      </c>
      <c r="D9" s="69"/>
      <c r="E9" s="69" t="s">
        <v>158</v>
      </c>
      <c r="F9" s="69"/>
      <c r="G9" s="69" t="s">
        <v>159</v>
      </c>
      <c r="H9" s="69"/>
    </row>
    <row r="10" customFormat="false" ht="30" hidden="false" customHeight="true" outlineLevel="0" collapsed="false">
      <c r="A10" s="70" t="n">
        <f aca="false">'Aging-Analyse'!D15</f>
        <v>2640.6</v>
      </c>
      <c r="B10" s="70"/>
      <c r="C10" s="72" t="n">
        <f aca="false">IFERROR((Forderungsaufstellung!G36/'DSO-Rechner'!D22)*90,"-")</f>
        <v>27.7275</v>
      </c>
      <c r="D10" s="72"/>
      <c r="E10" s="73" t="n">
        <f aca="false">COUNTA(Forderungsaufstellung!C6:C35)</f>
        <v>10</v>
      </c>
      <c r="F10" s="73"/>
      <c r="G10" s="70" t="n">
        <f aca="false">SUMPRODUCT((Forderungsaufstellung!I6:I35="Inkasso")*(Forderungsaufstellung!G6:G35&lt;&gt;"")*(Forderungsaufstellung!G6:G35))</f>
        <v>60500</v>
      </c>
      <c r="H10" s="70"/>
    </row>
    <row r="11" customFormat="false" ht="15.75" hidden="false" customHeight="true" outlineLevel="0" collapsed="false">
      <c r="A11" s="71" t="s">
        <v>160</v>
      </c>
      <c r="B11" s="71"/>
      <c r="C11" s="71" t="s">
        <v>161</v>
      </c>
      <c r="D11" s="71"/>
      <c r="E11" s="71" t="s">
        <v>162</v>
      </c>
      <c r="F11" s="71"/>
      <c r="G11" s="71" t="s">
        <v>163</v>
      </c>
      <c r="H11" s="71"/>
    </row>
    <row r="12" customFormat="false" ht="6" hidden="false" customHeight="true" outlineLevel="0" collapsed="false"/>
    <row r="15" customFormat="false" ht="21.75" hidden="false" customHeight="true" outlineLevel="0" collapsed="false">
      <c r="A15" s="47" t="s">
        <v>164</v>
      </c>
      <c r="B15" s="47"/>
      <c r="C15" s="47"/>
      <c r="D15" s="47"/>
      <c r="E15" s="47"/>
      <c r="F15" s="47"/>
      <c r="G15" s="47"/>
      <c r="H15" s="47"/>
    </row>
    <row r="16" customFormat="false" ht="19.5" hidden="false" customHeight="true" outlineLevel="0" collapsed="false">
      <c r="A16" s="62" t="s">
        <v>12</v>
      </c>
      <c r="B16" s="62" t="s">
        <v>165</v>
      </c>
      <c r="C16" s="62" t="s">
        <v>166</v>
      </c>
      <c r="D16" s="62" t="s">
        <v>14</v>
      </c>
      <c r="E16" s="62" t="s">
        <v>167</v>
      </c>
    </row>
    <row r="17" customFormat="false" ht="19.5" hidden="false" customHeight="true" outlineLevel="0" collapsed="false">
      <c r="A17" s="35" t="s">
        <v>43</v>
      </c>
      <c r="B17" s="36" t="n">
        <f aca="false">COUNTIF(Forderungsaufstellung!I6:I35,"Keine")</f>
        <v>2</v>
      </c>
      <c r="C17" s="37" t="n">
        <f aca="false">SUMPRODUCT((Forderungsaufstellung!I6:I35="Keine")*(Forderungsaufstellung!G6:G35&lt;&gt;"")*(Forderungsaufstellung!G6:G35))</f>
        <v>51200</v>
      </c>
      <c r="D17" s="37" t="n">
        <f aca="false">SUMPRODUCT((Forderungsaufstellung!I6:I35="Keine")*(Forderungsaufstellung!K6:K35&lt;&gt;"")*(Forderungsaufstellung!K6:K35))</f>
        <v>0</v>
      </c>
      <c r="E17" s="74" t="n">
        <f aca="false">IFERROR(C17/Forderungsaufstellung!G36,"-")</f>
        <v>0.276981336218556</v>
      </c>
    </row>
    <row r="18" customFormat="false" ht="19.5" hidden="false" customHeight="true" outlineLevel="0" collapsed="false">
      <c r="A18" s="75" t="s">
        <v>36</v>
      </c>
      <c r="B18" s="76" t="n">
        <f aca="false">COUNTIF(Forderungsaufstellung!I6:I35,"1. Mahnung")</f>
        <v>3</v>
      </c>
      <c r="C18" s="77" t="n">
        <f aca="false">SUMPRODUCT((Forderungsaufstellung!I6:I35="1. Mahnung")*(Forderungsaufstellung!G6:G35&lt;&gt;"")*(Forderungsaufstellung!G6:G35))</f>
        <v>29050</v>
      </c>
      <c r="D18" s="77" t="n">
        <f aca="false">SUMPRODUCT((Forderungsaufstellung!I6:I35="1. Mahnung")*(Forderungsaufstellung!K6:K35&lt;&gt;"")*(Forderungsaufstellung!K6:K35))</f>
        <v>0</v>
      </c>
      <c r="E18" s="78" t="n">
        <f aca="false">IFERROR(C18/Forderungsaufstellung!G36,"-")</f>
        <v>0.157154449553692</v>
      </c>
    </row>
    <row r="19" customFormat="false" ht="19.5" hidden="false" customHeight="true" outlineLevel="0" collapsed="false">
      <c r="A19" s="79" t="s">
        <v>25</v>
      </c>
      <c r="B19" s="80" t="n">
        <f aca="false">COUNTIF(Forderungsaufstellung!I6:I35,"2. Mahnung")</f>
        <v>3</v>
      </c>
      <c r="C19" s="81" t="n">
        <f aca="false">SUMPRODUCT((Forderungsaufstellung!I6:I35="2. Mahnung")*(Forderungsaufstellung!G6:G35&lt;&gt;"")*(Forderungsaufstellung!G6:G35))</f>
        <v>44100</v>
      </c>
      <c r="D19" s="81" t="n">
        <f aca="false">SUMPRODUCT((Forderungsaufstellung!I6:I35="2. Mahnung")*(Forderungsaufstellung!K6:K35&lt;&gt;"")*(Forderungsaufstellung!K6:K35))</f>
        <v>8820</v>
      </c>
      <c r="E19" s="82" t="n">
        <f aca="false">IFERROR(C19/Forderungsaufstellung!G36,"-")</f>
        <v>0.238571814985123</v>
      </c>
    </row>
    <row r="20" customFormat="false" ht="19.5" hidden="false" customHeight="true" outlineLevel="0" collapsed="false">
      <c r="A20" s="83" t="s">
        <v>168</v>
      </c>
      <c r="B20" s="84" t="n">
        <f aca="false">COUNTIF(Forderungsaufstellung!I6:I35,"3. Mahnung")</f>
        <v>0</v>
      </c>
      <c r="C20" s="85" t="n">
        <f aca="false">SUMPRODUCT((Forderungsaufstellung!I6:I35="3. Mahnung")*(Forderungsaufstellung!G6:G35&lt;&gt;"")*(Forderungsaufstellung!G6:G35))</f>
        <v>0</v>
      </c>
      <c r="D20" s="85" t="n">
        <f aca="false">SUMPRODUCT((Forderungsaufstellung!I6:I35="3. Mahnung")*(Forderungsaufstellung!K6:K35&lt;&gt;"")*(Forderungsaufstellung!K6:K35))</f>
        <v>0</v>
      </c>
      <c r="E20" s="86" t="n">
        <f aca="false">IFERROR(C20/Forderungsaufstellung!G36,"-")</f>
        <v>0</v>
      </c>
    </row>
    <row r="21" customFormat="false" ht="19.5" hidden="false" customHeight="true" outlineLevel="0" collapsed="false">
      <c r="A21" s="83" t="s">
        <v>55</v>
      </c>
      <c r="B21" s="84" t="n">
        <f aca="false">COUNTIF(Forderungsaufstellung!I6:I35,"Inkasso")</f>
        <v>2</v>
      </c>
      <c r="C21" s="85" t="n">
        <f aca="false">SUMPRODUCT((Forderungsaufstellung!I6:I35="Inkasso")*(Forderungsaufstellung!G6:G35&lt;&gt;"")*(Forderungsaufstellung!G6:G35))</f>
        <v>60500</v>
      </c>
      <c r="D21" s="85" t="n">
        <f aca="false">SUMPRODUCT((Forderungsaufstellung!I6:I35="Inkasso")*(Forderungsaufstellung!K6:K35&lt;&gt;"")*(Forderungsaufstellung!K6:K35))</f>
        <v>44000</v>
      </c>
      <c r="E21" s="86" t="n">
        <f aca="false">IFERROR(C21/Forderungsaufstellung!G36,"-")</f>
        <v>0.327292399242629</v>
      </c>
    </row>
    <row r="22" customFormat="false" ht="19.5" hidden="false" customHeight="true" outlineLevel="0" collapsed="false">
      <c r="A22" s="83" t="s">
        <v>169</v>
      </c>
      <c r="B22" s="84" t="n">
        <f aca="false">COUNTIF(Forderungsaufstellung!I6:I35,"Klage")</f>
        <v>0</v>
      </c>
      <c r="C22" s="85" t="n">
        <f aca="false">SUMPRODUCT((Forderungsaufstellung!I6:I35="Klage")*(Forderungsaufstellung!G6:G35&lt;&gt;"")*(Forderungsaufstellung!G6:G35))</f>
        <v>0</v>
      </c>
      <c r="D22" s="85" t="n">
        <f aca="false">SUMPRODUCT((Forderungsaufstellung!I6:I35="Klage")*(Forderungsaufstellung!K6:K35&lt;&gt;"")*(Forderungsaufstellung!K6:K35))</f>
        <v>0</v>
      </c>
      <c r="E22" s="86" t="n">
        <f aca="false">IFERROR(C22/Forderungsaufstellung!G36,"-")</f>
        <v>0</v>
      </c>
    </row>
    <row r="23" customFormat="false" ht="19.5" hidden="false" customHeight="true" outlineLevel="0" collapsed="false">
      <c r="A23" s="40" t="s">
        <v>170</v>
      </c>
      <c r="B23" s="41" t="n">
        <f aca="false">COUNTIF(Forderungsaufstellung!I6:I35,"Abgeschrieben")</f>
        <v>0</v>
      </c>
      <c r="C23" s="42" t="n">
        <f aca="false">SUMPRODUCT((Forderungsaufstellung!I6:I35="Abgeschrieben")*(Forderungsaufstellung!G6:G35&lt;&gt;"")*(Forderungsaufstellung!G6:G35))</f>
        <v>0</v>
      </c>
      <c r="D23" s="42" t="n">
        <f aca="false">SUMPRODUCT((Forderungsaufstellung!I6:I35="Abgeschrieben")*(Forderungsaufstellung!K6:K35&lt;&gt;"")*(Forderungsaufstellung!K6:K35))</f>
        <v>0</v>
      </c>
      <c r="E23" s="87" t="n">
        <f aca="false">IFERROR(C23/Forderungsaufstellung!G36,"-")</f>
        <v>0</v>
      </c>
    </row>
    <row r="26" customFormat="false" ht="21.75" hidden="false" customHeight="true" outlineLevel="0" collapsed="false">
      <c r="A26" s="47" t="s">
        <v>171</v>
      </c>
      <c r="B26" s="47"/>
      <c r="C26" s="47"/>
      <c r="D26" s="47"/>
      <c r="E26" s="47"/>
      <c r="F26" s="47"/>
      <c r="G26" s="47"/>
      <c r="H26" s="47"/>
    </row>
    <row r="27" customFormat="false" ht="18" hidden="false" customHeight="true" outlineLevel="0" collapsed="false">
      <c r="A27" s="88" t="s">
        <v>172</v>
      </c>
      <c r="B27" s="89" t="s">
        <v>173</v>
      </c>
      <c r="C27" s="89"/>
      <c r="D27" s="89"/>
      <c r="E27" s="89"/>
      <c r="F27" s="89"/>
      <c r="G27" s="89"/>
      <c r="H27" s="89"/>
    </row>
    <row r="28" customFormat="false" ht="18" hidden="false" customHeight="true" outlineLevel="0" collapsed="false">
      <c r="A28" s="90" t="s">
        <v>140</v>
      </c>
      <c r="B28" s="91" t="s">
        <v>174</v>
      </c>
      <c r="C28" s="91"/>
      <c r="D28" s="91"/>
      <c r="E28" s="91"/>
      <c r="F28" s="91"/>
      <c r="G28" s="91"/>
      <c r="H28" s="91"/>
    </row>
    <row r="29" customFormat="false" ht="18" hidden="false" customHeight="true" outlineLevel="0" collapsed="false">
      <c r="A29" s="88" t="s">
        <v>175</v>
      </c>
      <c r="B29" s="89" t="s">
        <v>176</v>
      </c>
      <c r="C29" s="89"/>
      <c r="D29" s="89"/>
      <c r="E29" s="89"/>
      <c r="F29" s="89"/>
      <c r="G29" s="89"/>
      <c r="H29" s="89"/>
    </row>
    <row r="30" customFormat="false" ht="18" hidden="false" customHeight="true" outlineLevel="0" collapsed="false">
      <c r="A30" s="90" t="s">
        <v>177</v>
      </c>
      <c r="B30" s="91" t="s">
        <v>178</v>
      </c>
      <c r="C30" s="91"/>
      <c r="D30" s="91"/>
      <c r="E30" s="91"/>
      <c r="F30" s="91"/>
      <c r="G30" s="91"/>
      <c r="H30" s="91"/>
    </row>
    <row r="31" customFormat="false" ht="18" hidden="false" customHeight="true" outlineLevel="0" collapsed="false">
      <c r="A31" s="88" t="s">
        <v>179</v>
      </c>
      <c r="B31" s="89" t="s">
        <v>180</v>
      </c>
      <c r="C31" s="89"/>
      <c r="D31" s="89"/>
      <c r="E31" s="89"/>
      <c r="F31" s="89"/>
      <c r="G31" s="89"/>
      <c r="H31" s="89"/>
    </row>
  </sheetData>
  <mergeCells count="34">
    <mergeCell ref="A1:H1"/>
    <mergeCell ref="A2:H2"/>
    <mergeCell ref="A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9:B9"/>
    <mergeCell ref="C9:D9"/>
    <mergeCell ref="E9:F9"/>
    <mergeCell ref="G9:H9"/>
    <mergeCell ref="A10:B10"/>
    <mergeCell ref="C10:D10"/>
    <mergeCell ref="E10:F10"/>
    <mergeCell ref="G10:H10"/>
    <mergeCell ref="A11:B11"/>
    <mergeCell ref="C11:D11"/>
    <mergeCell ref="E11:F11"/>
    <mergeCell ref="G11:H11"/>
    <mergeCell ref="A15:H15"/>
    <mergeCell ref="A26:H26"/>
    <mergeCell ref="B27:H27"/>
    <mergeCell ref="B28:H28"/>
    <mergeCell ref="B29:H29"/>
    <mergeCell ref="B30:H30"/>
    <mergeCell ref="B31:H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2026-04-16T08:15:47Z</dcterms:created>
  <dc:creator>openpyxl</dc:creator>
  <dc:description/>
  <dc:language>en-US</dc:language>
  <cp:lastModifiedBy/>
  <dcterms:modified xsi:type="dcterms:W3CDTF">2026-04-16T08:15:47Z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