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ndite-Rechner" sheetId="1" state="visible" r:id="rId2"/>
    <sheet name="10-Jahres-Cashflow" sheetId="2" state="visible" r:id="rId3"/>
    <sheet name="Checkliste &amp; Tipps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<sst xmlns="http://schemas.openxmlformats.org/spreadsheetml/2006/main" count="175" uniqueCount="169">
  <si>
    <t xml:space="preserve">🏠  Immobilien Rendite-Rechner</t>
  </si>
  <si>
    <t xml:space="preserve">Professioneller Investment-Kalkulator · Brutto-, Netto- &amp; Eigenkapitalrendite</t>
  </si>
  <si>
    <t xml:space="preserve">A  |  KAUFPREIS &amp; INVESTITIONSKOSTEN</t>
  </si>
  <si>
    <t xml:space="preserve">Kaufpreis</t>
  </si>
  <si>
    <t xml:space="preserve">Kaufpreis der Immobilie</t>
  </si>
  <si>
    <t xml:space="preserve">Notarkosten &amp; Grundbuch (%)</t>
  </si>
  <si>
    <t xml:space="preserve">Üblich: 1,0 – 2,0 %</t>
  </si>
  <si>
    <t xml:space="preserve">Notarkosten &amp; Grundbuch (€)</t>
  </si>
  <si>
    <t xml:space="preserve">Grunderwerbsteuer (%)</t>
  </si>
  <si>
    <t xml:space="preserve">Je nach Bundesland 3,5 – 6,5 %</t>
  </si>
  <si>
    <t xml:space="preserve">Grunderwerbsteuer (€)</t>
  </si>
  <si>
    <t xml:space="preserve">Maklerprovision (%)</t>
  </si>
  <si>
    <t xml:space="preserve">0 % bei Kauf ohne Makler</t>
  </si>
  <si>
    <t xml:space="preserve">Maklerprovision (€)</t>
  </si>
  <si>
    <t xml:space="preserve">Gesamte Kaufnebenkosten (€)</t>
  </si>
  <si>
    <t xml:space="preserve">Summe Notar + GrESt + Makler</t>
  </si>
  <si>
    <t xml:space="preserve">Gesamtinvestition (€)</t>
  </si>
  <si>
    <t xml:space="preserve">Kaufpreis + alle Nebenkosten</t>
  </si>
  <si>
    <t xml:space="preserve">B  |  MIETEINNAHMEN &amp; BEWIRTSCHAFTUNGSKOSTEN</t>
  </si>
  <si>
    <t xml:space="preserve">Monatliche Kaltmiete (€)</t>
  </si>
  <si>
    <t xml:space="preserve">Monatliche Nettokaltmiete</t>
  </si>
  <si>
    <t xml:space="preserve">Jahreskaltmiete (€)</t>
  </si>
  <si>
    <t xml:space="preserve">Mietausfallwagnis (%)</t>
  </si>
  <si>
    <t xml:space="preserve">Empfehlung: 2 – 4 %</t>
  </si>
  <si>
    <t xml:space="preserve">Effektive Jahreskaltmiete (€)</t>
  </si>
  <si>
    <t xml:space="preserve">Instandhaltungsrücklage (€/m² p.a.)</t>
  </si>
  <si>
    <t xml:space="preserve">Empfehlung: 7 – 12 €/m² p.a.</t>
  </si>
  <si>
    <t xml:space="preserve">Wohnfläche (m²)</t>
  </si>
  <si>
    <t xml:space="preserve">Instandhaltungskosten gesamt (€)</t>
  </si>
  <si>
    <t xml:space="preserve">Instandhaltung × Wohnfläche</t>
  </si>
  <si>
    <t xml:space="preserve">Hausverwaltung (€ p.a.)</t>
  </si>
  <si>
    <t xml:space="preserve">Sonstige nicht umlagefähige Kosten (€)</t>
  </si>
  <si>
    <t xml:space="preserve">Gesamte Bewirtschaftungskosten (€)</t>
  </si>
  <si>
    <t xml:space="preserve">Verwaltung + IHR + Sonstiges</t>
  </si>
  <si>
    <t xml:space="preserve">C  |  FINANZIERUNG &amp; EIGENKAPITAL</t>
  </si>
  <si>
    <t xml:space="preserve">Eigenkapital (€)</t>
  </si>
  <si>
    <t xml:space="preserve">Eigenkapitaleinsatz des Investors</t>
  </si>
  <si>
    <t xml:space="preserve">Fremdkapital (Darlehen) (€)</t>
  </si>
  <si>
    <t xml:space="preserve">Gesamtinvestition minus Eigenkapital</t>
  </si>
  <si>
    <t xml:space="preserve">Sollzinssatz (% p.a.)</t>
  </si>
  <si>
    <t xml:space="preserve">Aktueller Marktbereich: 3 – 5 %</t>
  </si>
  <si>
    <t xml:space="preserve">Anfängliche Tilgung (% p.a.)</t>
  </si>
  <si>
    <t xml:space="preserve">Anfangstilgung des Darlehens</t>
  </si>
  <si>
    <t xml:space="preserve">Annuität p.a. (€)</t>
  </si>
  <si>
    <t xml:space="preserve">davon Zinsen p.a. (€)</t>
  </si>
  <si>
    <t xml:space="preserve">davon Tilgung p.a. (€)</t>
  </si>
  <si>
    <t xml:space="preserve">Cashflow vor Steuern (€ p.a.)</t>
  </si>
  <si>
    <t xml:space="preserve">Miete abzgl. Kosten abzgl. Annuität</t>
  </si>
  <si>
    <t xml:space="preserve">Cashflow vor Steuern (€/Monat)</t>
  </si>
  <si>
    <t xml:space="preserve">D  |  RENDITEKENNZAHLEN  —  ERGEBNISSE</t>
  </si>
  <si>
    <t xml:space="preserve">Bruttomietrendite</t>
  </si>
  <si>
    <t xml:space="preserve">Jahreskaltmiete / Kaufpreis</t>
  </si>
  <si>
    <t xml:space="preserve">Kaufnebenkosten-Quote</t>
  </si>
  <si>
    <t xml:space="preserve">Nebenkosten / Kaufpreis</t>
  </si>
  <si>
    <t xml:space="preserve">Nettomietrendite</t>
  </si>
  <si>
    <t xml:space="preserve">(Eff. Miete – Bewirtschaftung) / Gesamtinvestition</t>
  </si>
  <si>
    <t xml:space="preserve">Reinertrag (NOI) p.a.</t>
  </si>
  <si>
    <t xml:space="preserve">Nettobetriebsergebnis</t>
  </si>
  <si>
    <t xml:space="preserve">Eigenkapitalrendite</t>
  </si>
  <si>
    <t xml:space="preserve">Leverage-Effekt: (NOI – Zinsen) / EK</t>
  </si>
  <si>
    <t xml:space="preserve">Cashflow-Rendite auf EK</t>
  </si>
  <si>
    <t xml:space="preserve">Cashflow nach Annuität / EK</t>
  </si>
  <si>
    <t xml:space="preserve">Brutto-Multiplikator</t>
  </si>
  <si>
    <t xml:space="preserve">Kaufpreis / Jahreskaltmiete (Faktor)</t>
  </si>
  <si>
    <t xml:space="preserve">Netto-Multiplikator</t>
  </si>
  <si>
    <t xml:space="preserve">Gesamtinvestition / NOI (Faktor)</t>
  </si>
  <si>
    <t xml:space="preserve">FORMEL-REFERENZ</t>
  </si>
  <si>
    <t xml:space="preserve">Bruttorendite</t>
  </si>
  <si>
    <t xml:space="preserve">Formel: Jahreskaltmiete / Kaufpreis × 100</t>
  </si>
  <si>
    <t xml:space="preserve">Nettorendite</t>
  </si>
  <si>
    <t xml:space="preserve">Formel: (Jahreskaltmiete – Bewirtschaftungskosten) / (Kaufpreis + Nebenkosten) × 100</t>
  </si>
  <si>
    <t xml:space="preserve">EK-Rendite</t>
  </si>
  <si>
    <t xml:space="preserve">Formel: (NOI – Fremdkapitalzinsen) / Eigenkapital × 100  [Leverage-Effekt]</t>
  </si>
  <si>
    <t xml:space="preserve">Cashflow-Rendite</t>
  </si>
  <si>
    <t xml:space="preserve">Formel: Jahres-Cashflow nach Annuität / Eigenkapital × 100</t>
  </si>
  <si>
    <t xml:space="preserve">Multiplikator</t>
  </si>
  <si>
    <t xml:space="preserve">Formel: Kaufpreis / Jahreskaltmiete  [Faktor; Ziel: unter 25×]</t>
  </si>
  <si>
    <t xml:space="preserve">FARBCODIERUNG</t>
  </si>
  <si>
    <t xml:space="preserve">  Beispiel</t>
  </si>
  <si>
    <t xml:space="preserve">Gelb / Blau = Eingabefelder (vom Nutzer anzupassen)</t>
  </si>
  <si>
    <t xml:space="preserve">Hellblau / Schwarz = Berechnete Zwischenwerte (Formeln)</t>
  </si>
  <si>
    <t xml:space="preserve">Hellgrün / Schwarz = Ergebniskennzahlen (Formeln)</t>
  </si>
  <si>
    <t xml:space="preserve">10-JAHRES CASHFLOW-PLANUNG</t>
  </si>
  <si>
    <t xml:space="preserve">Dynamische Betrachtung mit Mietsteigerung und AfA-Abschreibung</t>
  </si>
  <si>
    <t xml:space="preserve">ANNAHMEN</t>
  </si>
  <si>
    <t xml:space="preserve">Anfangsmiete (€/Monat)</t>
  </si>
  <si>
    <t xml:space="preserve">Mietsteigerung p.a. (%)</t>
  </si>
  <si>
    <t xml:space="preserve">Eingabe: Erwartete Mietsteigerung</t>
  </si>
  <si>
    <t xml:space="preserve">Kostensteigerung p.a. (%)</t>
  </si>
  <si>
    <t xml:space="preserve">Eingabe: Steigerung der Bewirtschaftungskosten</t>
  </si>
  <si>
    <t xml:space="preserve">Anfangszinssatz (%)</t>
  </si>
  <si>
    <t xml:space="preserve">AfA-Satz (%)</t>
  </si>
  <si>
    <t xml:space="preserve">2 % linear für Gebäude (§ 7 Abs.4 EStG)</t>
  </si>
  <si>
    <t xml:space="preserve">Gebäudewertanteil (€)</t>
  </si>
  <si>
    <t xml:space="preserve">Persönlicher Steuersatz (%)</t>
  </si>
  <si>
    <t xml:space="preserve">Grenzsteuersatz für Steuereffekt</t>
  </si>
  <si>
    <t xml:space="preserve">KENNZAHL</t>
  </si>
  <si>
    <t xml:space="preserve">Jahr 1</t>
  </si>
  <si>
    <t xml:space="preserve">Jahr 2</t>
  </si>
  <si>
    <t xml:space="preserve">Jahr 3</t>
  </si>
  <si>
    <t xml:space="preserve">Jahr 4</t>
  </si>
  <si>
    <t xml:space="preserve">Jahr 5</t>
  </si>
  <si>
    <t xml:space="preserve">Jahr 6</t>
  </si>
  <si>
    <t xml:space="preserve">Jahr 7</t>
  </si>
  <si>
    <t xml:space="preserve">Jahr 8</t>
  </si>
  <si>
    <t xml:space="preserve">Jahr 9</t>
  </si>
  <si>
    <t xml:space="preserve">Jahr 10</t>
  </si>
  <si>
    <t xml:space="preserve">10-Jahres</t>
  </si>
  <si>
    <t xml:space="preserve">(Jahr 1)</t>
  </si>
  <si>
    <t xml:space="preserve">(Jahr 2)</t>
  </si>
  <si>
    <t xml:space="preserve">(Jahr 3)</t>
  </si>
  <si>
    <t xml:space="preserve">(Jahr 4)</t>
  </si>
  <si>
    <t xml:space="preserve">(Jahr 5)</t>
  </si>
  <si>
    <t xml:space="preserve">(Jahr 6)</t>
  </si>
  <si>
    <t xml:space="preserve">(Jahr 7)</t>
  </si>
  <si>
    <t xml:space="preserve">(Jahr 8)</t>
  </si>
  <si>
    <t xml:space="preserve">(Jahr 9)</t>
  </si>
  <si>
    <t xml:space="preserve">(Jahr 10)</t>
  </si>
  <si>
    <t xml:space="preserve">Summe/Ø</t>
  </si>
  <si>
    <t xml:space="preserve">Kaltmiete p.a. (€)</t>
  </si>
  <si>
    <t xml:space="preserve">Mietausfall (€)</t>
  </si>
  <si>
    <t xml:space="preserve">Effektive Mieteinnahmen (€)</t>
  </si>
  <si>
    <t xml:space="preserve">Instandhaltung (€)</t>
  </si>
  <si>
    <t xml:space="preserve">Verwaltung (€)</t>
  </si>
  <si>
    <t xml:space="preserve">Sonstige Kosten (€)</t>
  </si>
  <si>
    <t xml:space="preserve">NOI – Nettobetriebsergebnis (€)</t>
  </si>
  <si>
    <t xml:space="preserve">Zinsen (€)</t>
  </si>
  <si>
    <t xml:space="preserve">Tilgung (€)</t>
  </si>
  <si>
    <t xml:space="preserve">Cashflow vor Steuern (€)</t>
  </si>
  <si>
    <t xml:space="preserve">AfA-Abschreibung (€)</t>
  </si>
  <si>
    <t xml:space="preserve">Zu versteuernder Ertrag (€)</t>
  </si>
  <si>
    <t xml:space="preserve">Steuerbelastung (€)</t>
  </si>
  <si>
    <t xml:space="preserve">Cashflow nach Steuern (€)</t>
  </si>
  <si>
    <t xml:space="preserve">Rendite auf EK (nach Steuern)</t>
  </si>
  <si>
    <t xml:space="preserve">CHECKLISTE: HÄUFIGE FEHLER BEI DER RENDITEBERECHNUNG</t>
  </si>
  <si>
    <t xml:space="preserve">Vermeiden Sie diese klassischen Fehler beim Immobilien-Investment</t>
  </si>
  <si>
    <t xml:space="preserve">FEHLER</t>
  </si>
  <si>
    <t xml:space="preserve">EMPFEHLUNG / RICHTWERT</t>
  </si>
  <si>
    <t xml:space="preserve">Instandhaltung unterschätzt</t>
  </si>
  <si>
    <t xml:space="preserve">Mindestens 7–12 € pro m² und Jahr bei Bestandsimmobilien einplanen.</t>
  </si>
  <si>
    <t xml:space="preserve">Leerstand ignoriert</t>
  </si>
  <si>
    <t xml:space="preserve">Mietausfallwagnis von 2–4 % der Jahreskaltmiete kalkulieren.</t>
  </si>
  <si>
    <t xml:space="preserve">Kaufnebenkosten vergessen</t>
  </si>
  <si>
    <t xml:space="preserve">Notar + Grunderwerbsteuer + ggf. Makler = 7–15 % des Kaufpreises einrechnen.</t>
  </si>
  <si>
    <t xml:space="preserve">Steuern nicht berücksichtigt</t>
  </si>
  <si>
    <t xml:space="preserve">Mieteinnahmen sind einkommensteuerpflichtig; AfA mindert den Ertrag.</t>
  </si>
  <si>
    <t xml:space="preserve">Nur Bruttorendite beachtet</t>
  </si>
  <si>
    <t xml:space="preserve">Makler werben mit Brutto – für den Investor zählt die Netto- und EK-Rendite.</t>
  </si>
  <si>
    <t xml:space="preserve">Leverage-Effekt ignoriert</t>
  </si>
  <si>
    <t xml:space="preserve">Mit Fremdkapital kann die EK-Rendite deutlich über der Objektrendite liegen.</t>
  </si>
  <si>
    <t xml:space="preserve">Mietsteigerung nicht geplant</t>
  </si>
  <si>
    <t xml:space="preserve">Realistische Mietsteigerung von 1–3 % p.a. in die Langfristplanung einbauen.</t>
  </si>
  <si>
    <t xml:space="preserve">Keine Rücklage für Großreparaturen</t>
  </si>
  <si>
    <t xml:space="preserve">Dachstuhl, Heizung, Fassade: Kapitalrücklage separat planen.</t>
  </si>
  <si>
    <t xml:space="preserve">BENCHMARKS &amp; RICHTWERTE</t>
  </si>
  <si>
    <t xml:space="preserve">Kennzahl</t>
  </si>
  <si>
    <t xml:space="preserve">Orientierungswert</t>
  </si>
  <si>
    <t xml:space="preserve">&gt; 5,0 % anstreben</t>
  </si>
  <si>
    <t xml:space="preserve">&gt; 3,5 % anstreben</t>
  </si>
  <si>
    <t xml:space="preserve">&gt; 6,0 % anstreben</t>
  </si>
  <si>
    <t xml:space="preserve">Kaufpreis-Multiplikator</t>
  </si>
  <si>
    <t xml:space="preserve">&lt; 25× (= &lt; 4 % Bruttorendite)</t>
  </si>
  <si>
    <t xml:space="preserve">Instandhaltungsrücklage</t>
  </si>
  <si>
    <t xml:space="preserve">7–12 € / m² / Jahr</t>
  </si>
  <si>
    <t xml:space="preserve">Mietausfallwagnis</t>
  </si>
  <si>
    <t xml:space="preserve">2–4 % der Jahreskaltmiete</t>
  </si>
  <si>
    <t xml:space="preserve">7–12 % des Kaufpreises</t>
  </si>
  <si>
    <t xml:space="preserve">Eigenkapitalquote</t>
  </si>
  <si>
    <t xml:space="preserve">Mindestens 20 % empfohlen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</si>
</sst>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&quot; €&quot;;\(#,##0&quot; €)&quot;;\-"/>
    <numFmt numFmtId="166" formatCode="0.0%;\(0.0%\);\-"/>
    <numFmt numFmtId="167" formatCode="#,##0.00&quot; €&quot;;\(#,##0.00&quot; €)&quot;;\-"/>
    <numFmt numFmtId="168" formatCode="#,##0&quot; m²&quot;;\(#,##0&quot; m²)&quot;;\-"/>
    <numFmt numFmtId="169" formatCode="0.00%;\(0.00%\);\-"/>
    <numFmt numFmtId="170" formatCode="#,##0.0\x;\(#,##0.0&quot;x)&quot;;\-"/>
    <numFmt numFmtId="171" formatCode="#,##0&quot; €&quot;"/>
    <numFmt numFmtId="172" formatCode="0.0%"/>
  </numFmts>
  <fonts count="2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sz val="10"/>
      <color rgb="FFC9D7F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color rgb="FF333333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sz val="9"/>
      <color rgb="FF666666"/>
      <name val="Arial"/>
      <family val="0"/>
      <charset val="1"/>
    </font>
    <font>
      <sz val="10"/>
      <color rgb="FF00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0"/>
      <color rgb="FF333333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b val="true"/>
      <sz val="12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color rgb="FF222222"/>
      <name val="Arial"/>
      <family val="0"/>
      <charset val="1"/>
    </font>
    <font>
      <sz val="9"/>
      <color rgb="FF444444"/>
      <name val="Arial"/>
      <family val="0"/>
      <charset val="1"/>
    </font>
    <font>
      <b val="true"/>
      <sz val="9"/>
      <color rgb="FF0000FF"/>
      <name val="Arial"/>
      <family val="0"/>
      <charset val="1"/>
    </font>
    <font>
      <sz val="9"/>
      <color rgb="FF333333"/>
      <name val="Arial"/>
      <family val="0"/>
      <charset val="1"/>
    </font>
    <font>
      <b val="true"/>
      <sz val="9"/>
      <color rgb="FF000000"/>
      <name val="Arial"/>
      <family val="0"/>
      <charset val="1"/>
    </font>
    <font>
      <b val="true"/>
      <sz val="14"/>
      <color rgb="FFFFFFFF"/>
      <name val="Arial"/>
      <family val="0"/>
      <charset val="1"/>
    </font>
    <font>
      <b val="true"/>
      <sz val="9"/>
      <color rgb="FF008000"/>
      <name val="Arial"/>
      <family val="0"/>
      <charset val="1"/>
    </font>
    <font>
      <sz val="8"/>
      <color rgb="FF888888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8"/>
      <color rgb="FFCCCCCC"/>
      <name val="Arial"/>
      <family val="0"/>
      <charset val="1"/>
    </font>
    <font>
      <b val="true"/>
      <sz val="9"/>
      <color rgb="FFCCCCCC"/>
      <name val="Arial"/>
      <family val="0"/>
      <charset val="1"/>
    </font>
    <font>
      <sz val="9"/>
      <color rgb="FF000000"/>
      <name val="Arial"/>
      <family val="0"/>
      <charset val="1"/>
    </font>
    <font>
      <b val="true"/>
      <sz val="9"/>
      <color rgb="FF333333"/>
      <name val="Arial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1F3864"/>
        <bgColor rgb="FF333333"/>
      </patternFill>
    </fill>
    <fill>
      <patternFill patternType="solid">
        <fgColor rgb="FF2F5496"/>
        <bgColor rgb="FF1F3864"/>
      </patternFill>
    </fill>
    <fill>
      <patternFill patternType="solid">
        <fgColor rgb="FFD6E4F7"/>
        <bgColor rgb="FFC9D7F0"/>
      </patternFill>
    </fill>
    <fill>
      <patternFill patternType="solid">
        <fgColor rgb="FFFFFF00"/>
        <bgColor rgb="FFFFFF00"/>
      </patternFill>
    </fill>
    <fill>
      <patternFill patternType="solid">
        <fgColor rgb="FFBDD7EE"/>
        <bgColor rgb="FFC9D7F0"/>
      </patternFill>
    </fill>
    <fill>
      <patternFill patternType="solid">
        <fgColor rgb="FFE2EFDA"/>
        <bgColor rgb="FFF2F2F2"/>
      </patternFill>
    </fill>
    <fill>
      <patternFill patternType="solid">
        <fgColor rgb="FFC6EFCE"/>
        <bgColor rgb="FFE2EFDA"/>
      </patternFill>
    </fill>
    <fill>
      <patternFill patternType="solid">
        <fgColor rgb="FF595959"/>
        <bgColor rgb="FF666666"/>
      </patternFill>
    </fill>
    <fill>
      <patternFill patternType="solid">
        <fgColor rgb="FFF2F2F2"/>
        <bgColor rgb="FFE2EFDA"/>
      </patternFill>
    </fill>
    <fill>
      <patternFill patternType="solid">
        <fgColor rgb="FFD9D9D9"/>
        <bgColor rgb="FFC9D7F0"/>
      </patternFill>
    </fill>
    <fill>
      <patternFill patternType="solid">
        <fgColor rgb="FFFFFFFF"/>
        <bgColor rgb="FFF2F2F2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6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0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1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3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10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7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8" fillId="5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14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10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2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10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0" fontId="10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9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1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1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8" fillId="5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9" fillId="1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0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21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9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1" fontId="22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2" fontId="18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3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72" fontId="22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71" fontId="18" fillId="5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4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4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5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26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9" fillId="1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7" fillId="1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20" fillId="11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9" fillId="1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7" fillId="12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8" fillId="4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0" fillId="4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8" fillId="6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0" fillId="6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8" fillId="8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20" fillId="8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28" fillId="7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20" fillId="7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9" fontId="20" fillId="11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1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7" fillId="1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9" fillId="1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7" fillId="12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24" fillId="3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1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7" fillId="1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88888"/>
      <rgbColor rgb="FF9999FF"/>
      <rgbColor rgb="FF595959"/>
      <rgbColor rgb="FFF2F2F2"/>
      <rgbColor rgb="FFE2EFDA"/>
      <rgbColor rgb="FF660066"/>
      <rgbColor rgb="FFFF8080"/>
      <rgbColor rgb="FF0066CC"/>
      <rgbColor rgb="FFC9D7F0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6E4F7"/>
      <rgbColor rgb="FFC6EFCE"/>
      <rgbColor rgb="FFFFFF99"/>
      <rgbColor rgb="FFBDD7EE"/>
      <rgbColor rgb="FFFF99CC"/>
      <rgbColor rgb="FFCCCCCC"/>
      <rgbColor rgb="FFD9D9D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1F3864"/>
      <rgbColor rgb="FF339966"/>
      <rgbColor rgb="FF444444"/>
      <rgbColor rgb="FF222222"/>
      <rgbColor rgb="FF993300"/>
      <rgbColor rgb="FF993366"/>
      <rgbColor rgb="FF2F5496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F7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2"/>
    <col collapsed="false" customWidth="true" hidden="false" outlineLevel="0" max="3" min="3" style="0" width="20"/>
    <col collapsed="false" customWidth="true" hidden="false" outlineLevel="0" max="4" min="4" style="0" width="3"/>
    <col collapsed="false" customWidth="true" hidden="false" outlineLevel="0" max="5" min="5" style="0" width="28"/>
    <col collapsed="false" customWidth="true" hidden="false" outlineLevel="0" max="6" min="6" style="0" width="20"/>
    <col collapsed="false" customWidth="true" hidden="false" outlineLevel="0" max="7" min="7" style="0" width="3"/>
  </cols>
  <sheetData>
    <row r="1" customFormat="false" ht="7.5" hidden="false" customHeight="true" outlineLevel="0" collapsed="false"/>
    <row r="2" customFormat="false" ht="39.75" hidden="false" customHeight="true" outlineLevel="0" collapsed="false">
      <c r="B2" s="1" t="s">
        <v>0</v>
      </c>
      <c r="C2" s="1"/>
      <c r="D2" s="1"/>
      <c r="E2" s="1"/>
      <c r="F2" s="1"/>
    </row>
    <row r="3" customFormat="false" ht="21.75" hidden="false" customHeight="true" outlineLevel="0" collapsed="false">
      <c r="B3" s="2" t="s">
        <v>1</v>
      </c>
      <c r="C3" s="2"/>
      <c r="D3" s="2"/>
      <c r="E3" s="2"/>
      <c r="F3" s="2"/>
    </row>
    <row r="4" customFormat="false" ht="18" hidden="false" customHeight="true" outlineLevel="0" collapsed="false"/>
    <row r="5" customFormat="false" ht="18" hidden="false" customHeight="true" outlineLevel="0" collapsed="false">
      <c r="B5" s="3" t="s">
        <v>2</v>
      </c>
      <c r="C5" s="3"/>
      <c r="D5" s="3"/>
      <c r="E5" s="3"/>
      <c r="F5" s="3"/>
    </row>
    <row r="6" customFormat="false" ht="18" hidden="false" customHeight="true" outlineLevel="0" collapsed="false">
      <c r="B6" s="4" t="s">
        <v>3</v>
      </c>
      <c r="C6" s="5" t="n">
        <v>300000</v>
      </c>
      <c r="D6" s="6"/>
      <c r="E6" s="7" t="s">
        <v>4</v>
      </c>
      <c r="F6" s="6"/>
    </row>
    <row r="7" customFormat="false" ht="18" hidden="false" customHeight="true" outlineLevel="0" collapsed="false">
      <c r="B7" s="4" t="s">
        <v>5</v>
      </c>
      <c r="C7" s="8" t="n">
        <v>0.015</v>
      </c>
      <c r="D7" s="6"/>
      <c r="E7" s="7" t="s">
        <v>6</v>
      </c>
      <c r="F7" s="6"/>
    </row>
    <row r="8" customFormat="false" ht="18" hidden="false" customHeight="true" outlineLevel="0" collapsed="false">
      <c r="B8" s="4" t="s">
        <v>7</v>
      </c>
      <c r="C8" s="9" t="n">
        <f aca="false">C6*C7</f>
        <v>4500</v>
      </c>
      <c r="D8" s="6"/>
      <c r="E8" s="6"/>
      <c r="F8" s="6"/>
    </row>
    <row r="9" customFormat="false" ht="18" hidden="false" customHeight="true" outlineLevel="0" collapsed="false">
      <c r="B9" s="4" t="s">
        <v>8</v>
      </c>
      <c r="C9" s="8" t="n">
        <v>0.035</v>
      </c>
      <c r="D9" s="6"/>
      <c r="E9" s="7" t="s">
        <v>9</v>
      </c>
      <c r="F9" s="6"/>
    </row>
    <row r="10" customFormat="false" ht="18" hidden="false" customHeight="true" outlineLevel="0" collapsed="false">
      <c r="B10" s="4" t="s">
        <v>10</v>
      </c>
      <c r="C10" s="9" t="n">
        <f aca="false">C6*C9</f>
        <v>10500</v>
      </c>
      <c r="D10" s="6"/>
      <c r="E10" s="6"/>
      <c r="F10" s="6"/>
    </row>
    <row r="11" customFormat="false" ht="18" hidden="false" customHeight="true" outlineLevel="0" collapsed="false">
      <c r="B11" s="4" t="s">
        <v>11</v>
      </c>
      <c r="C11" s="8" t="n">
        <v>0</v>
      </c>
      <c r="D11" s="6"/>
      <c r="E11" s="7" t="s">
        <v>12</v>
      </c>
      <c r="F11" s="6"/>
    </row>
    <row r="12" customFormat="false" ht="18" hidden="false" customHeight="true" outlineLevel="0" collapsed="false">
      <c r="B12" s="4" t="s">
        <v>13</v>
      </c>
      <c r="C12" s="9" t="n">
        <f aca="false">C6*C11</f>
        <v>0</v>
      </c>
      <c r="D12" s="6"/>
      <c r="E12" s="6"/>
      <c r="F12" s="6"/>
    </row>
    <row r="13" customFormat="false" ht="18" hidden="false" customHeight="true" outlineLevel="0" collapsed="false">
      <c r="B13" s="10"/>
      <c r="C13" s="10"/>
      <c r="D13" s="10"/>
      <c r="E13" s="10"/>
      <c r="F13" s="10"/>
    </row>
    <row r="14" customFormat="false" ht="18" hidden="false" customHeight="true" outlineLevel="0" collapsed="false">
      <c r="B14" s="11" t="s">
        <v>14</v>
      </c>
      <c r="C14" s="12" t="n">
        <f aca="false">C8+C10+C12</f>
        <v>15000</v>
      </c>
      <c r="D14" s="6"/>
      <c r="E14" s="7" t="s">
        <v>15</v>
      </c>
      <c r="F14" s="6"/>
    </row>
    <row r="15" customFormat="false" ht="18" hidden="false" customHeight="true" outlineLevel="0" collapsed="false">
      <c r="B15" s="11" t="s">
        <v>16</v>
      </c>
      <c r="C15" s="12" t="n">
        <f aca="false">C6+C14</f>
        <v>315000</v>
      </c>
      <c r="D15" s="6"/>
      <c r="E15" s="7" t="s">
        <v>17</v>
      </c>
      <c r="F15" s="6"/>
    </row>
    <row r="16" customFormat="false" ht="18" hidden="false" customHeight="true" outlineLevel="0" collapsed="false">
      <c r="B16" s="6"/>
      <c r="C16" s="6"/>
      <c r="D16" s="6"/>
      <c r="E16" s="6"/>
      <c r="F16" s="6"/>
    </row>
    <row r="17" customFormat="false" ht="18" hidden="false" customHeight="true" outlineLevel="0" collapsed="false">
      <c r="B17" s="6"/>
      <c r="C17" s="6"/>
      <c r="D17" s="6"/>
      <c r="E17" s="6"/>
      <c r="F17" s="6"/>
    </row>
    <row r="18" customFormat="false" ht="18" hidden="false" customHeight="true" outlineLevel="0" collapsed="false">
      <c r="B18" s="6"/>
      <c r="C18" s="6"/>
      <c r="D18" s="6"/>
      <c r="E18" s="6"/>
      <c r="F18" s="6"/>
    </row>
    <row r="19" customFormat="false" ht="18" hidden="false" customHeight="true" outlineLevel="0" collapsed="false"/>
    <row r="20" customFormat="false" ht="7.5" hidden="false" customHeight="true" outlineLevel="0" collapsed="false"/>
    <row r="21" customFormat="false" ht="18" hidden="false" customHeight="true" outlineLevel="0" collapsed="false">
      <c r="B21" s="3" t="s">
        <v>18</v>
      </c>
      <c r="C21" s="3"/>
      <c r="D21" s="3"/>
      <c r="E21" s="3"/>
      <c r="F21" s="3"/>
    </row>
    <row r="22" customFormat="false" ht="18" hidden="false" customHeight="true" outlineLevel="0" collapsed="false">
      <c r="B22" s="4" t="s">
        <v>19</v>
      </c>
      <c r="C22" s="5" t="n">
        <v>1000</v>
      </c>
      <c r="D22" s="6"/>
      <c r="E22" s="7" t="s">
        <v>20</v>
      </c>
      <c r="F22" s="6"/>
    </row>
    <row r="23" customFormat="false" ht="18" hidden="false" customHeight="true" outlineLevel="0" collapsed="false">
      <c r="B23" s="4" t="s">
        <v>21</v>
      </c>
      <c r="C23" s="13" t="n">
        <f aca="false">C22*12</f>
        <v>12000</v>
      </c>
      <c r="D23" s="6"/>
      <c r="E23" s="6"/>
      <c r="F23" s="6"/>
    </row>
    <row r="24" customFormat="false" ht="18" hidden="false" customHeight="true" outlineLevel="0" collapsed="false">
      <c r="B24" s="4" t="s">
        <v>22</v>
      </c>
      <c r="C24" s="8" t="n">
        <v>0.03</v>
      </c>
      <c r="D24" s="6"/>
      <c r="E24" s="7" t="s">
        <v>23</v>
      </c>
      <c r="F24" s="6"/>
    </row>
    <row r="25" customFormat="false" ht="18" hidden="false" customHeight="true" outlineLevel="0" collapsed="false">
      <c r="B25" s="4" t="s">
        <v>24</v>
      </c>
      <c r="C25" s="13" t="n">
        <f aca="false">C23*(1-C24)</f>
        <v>11640</v>
      </c>
      <c r="D25" s="6"/>
      <c r="E25" s="6"/>
      <c r="F25" s="6"/>
    </row>
    <row r="26" customFormat="false" ht="18" hidden="false" customHeight="true" outlineLevel="0" collapsed="false">
      <c r="B26" s="4" t="s">
        <v>25</v>
      </c>
      <c r="C26" s="14" t="n">
        <v>10</v>
      </c>
      <c r="D26" s="6"/>
      <c r="E26" s="7" t="s">
        <v>26</v>
      </c>
      <c r="F26" s="6"/>
    </row>
    <row r="27" customFormat="false" ht="18" hidden="false" customHeight="true" outlineLevel="0" collapsed="false">
      <c r="B27" s="4" t="s">
        <v>27</v>
      </c>
      <c r="C27" s="15" t="n">
        <v>80</v>
      </c>
      <c r="D27" s="6"/>
      <c r="E27" s="6"/>
      <c r="F27" s="6"/>
    </row>
    <row r="28" customFormat="false" ht="18" hidden="false" customHeight="true" outlineLevel="0" collapsed="false">
      <c r="B28" s="4" t="s">
        <v>28</v>
      </c>
      <c r="C28" s="13" t="n">
        <f aca="false">C26*C27</f>
        <v>800</v>
      </c>
      <c r="D28" s="6"/>
      <c r="E28" s="7" t="s">
        <v>29</v>
      </c>
      <c r="F28" s="6"/>
    </row>
    <row r="29" customFormat="false" ht="18" hidden="false" customHeight="true" outlineLevel="0" collapsed="false">
      <c r="B29" s="4" t="s">
        <v>30</v>
      </c>
      <c r="C29" s="5" t="n">
        <v>600</v>
      </c>
      <c r="D29" s="6"/>
      <c r="E29" s="6"/>
      <c r="F29" s="6"/>
    </row>
    <row r="30" customFormat="false" ht="18" hidden="false" customHeight="true" outlineLevel="0" collapsed="false">
      <c r="B30" s="4" t="s">
        <v>31</v>
      </c>
      <c r="C30" s="5" t="n">
        <v>0</v>
      </c>
      <c r="D30" s="6"/>
      <c r="E30" s="6"/>
      <c r="F30" s="6"/>
    </row>
    <row r="31" customFormat="false" ht="18" hidden="false" customHeight="true" outlineLevel="0" collapsed="false">
      <c r="B31" s="11" t="s">
        <v>32</v>
      </c>
      <c r="C31" s="12" t="n">
        <f aca="false">C28+C29+C30</f>
        <v>1400</v>
      </c>
      <c r="D31" s="6"/>
      <c r="E31" s="7" t="s">
        <v>33</v>
      </c>
      <c r="F31" s="6"/>
    </row>
    <row r="32" customFormat="false" ht="18" hidden="false" customHeight="true" outlineLevel="0" collapsed="false"/>
    <row r="33" customFormat="false" ht="7.5" hidden="false" customHeight="true" outlineLevel="0" collapsed="false"/>
    <row r="34" customFormat="false" ht="18" hidden="false" customHeight="true" outlineLevel="0" collapsed="false">
      <c r="B34" s="3" t="s">
        <v>34</v>
      </c>
      <c r="C34" s="3"/>
      <c r="D34" s="3"/>
      <c r="E34" s="3"/>
      <c r="F34" s="3"/>
    </row>
    <row r="35" customFormat="false" ht="18" hidden="false" customHeight="true" outlineLevel="0" collapsed="false">
      <c r="B35" s="4" t="s">
        <v>35</v>
      </c>
      <c r="C35" s="5" t="n">
        <v>75000</v>
      </c>
      <c r="D35" s="6"/>
      <c r="E35" s="7" t="s">
        <v>36</v>
      </c>
      <c r="F35" s="6"/>
    </row>
    <row r="36" customFormat="false" ht="18" hidden="false" customHeight="true" outlineLevel="0" collapsed="false">
      <c r="B36" s="4" t="s">
        <v>37</v>
      </c>
      <c r="C36" s="13" t="n">
        <f aca="false">C15-C35</f>
        <v>240000</v>
      </c>
      <c r="D36" s="6"/>
      <c r="E36" s="7" t="s">
        <v>38</v>
      </c>
      <c r="F36" s="6"/>
    </row>
    <row r="37" customFormat="false" ht="18" hidden="false" customHeight="true" outlineLevel="0" collapsed="false">
      <c r="B37" s="4" t="s">
        <v>39</v>
      </c>
      <c r="C37" s="8" t="n">
        <v>0.035</v>
      </c>
      <c r="D37" s="6"/>
      <c r="E37" s="7" t="s">
        <v>40</v>
      </c>
      <c r="F37" s="6"/>
    </row>
    <row r="38" customFormat="false" ht="18" hidden="false" customHeight="true" outlineLevel="0" collapsed="false">
      <c r="B38" s="4" t="s">
        <v>41</v>
      </c>
      <c r="C38" s="8" t="n">
        <v>0.02</v>
      </c>
      <c r="D38" s="6"/>
      <c r="E38" s="7" t="s">
        <v>42</v>
      </c>
      <c r="F38" s="6"/>
    </row>
    <row r="39" customFormat="false" ht="18" hidden="false" customHeight="true" outlineLevel="0" collapsed="false">
      <c r="B39" s="4" t="s">
        <v>43</v>
      </c>
      <c r="C39" s="13" t="n">
        <f aca="false">C36*(C37+C38)</f>
        <v>13200</v>
      </c>
      <c r="D39" s="6"/>
      <c r="E39" s="6"/>
      <c r="F39" s="6"/>
    </row>
    <row r="40" customFormat="false" ht="18" hidden="false" customHeight="true" outlineLevel="0" collapsed="false">
      <c r="B40" s="4" t="s">
        <v>44</v>
      </c>
      <c r="C40" s="13" t="n">
        <f aca="false">C36*C37</f>
        <v>8400</v>
      </c>
      <c r="D40" s="6"/>
      <c r="E40" s="6"/>
      <c r="F40" s="6"/>
    </row>
    <row r="41" customFormat="false" ht="18" hidden="false" customHeight="true" outlineLevel="0" collapsed="false">
      <c r="B41" s="4" t="s">
        <v>45</v>
      </c>
      <c r="C41" s="13" t="n">
        <f aca="false">C39-C40</f>
        <v>4800</v>
      </c>
      <c r="D41" s="6"/>
      <c r="E41" s="6"/>
      <c r="F41" s="6"/>
    </row>
    <row r="42" customFormat="false" ht="18" hidden="false" customHeight="true" outlineLevel="0" collapsed="false">
      <c r="B42" s="16"/>
      <c r="C42" s="16"/>
      <c r="D42" s="6"/>
      <c r="E42" s="6"/>
      <c r="F42" s="6"/>
    </row>
    <row r="43" customFormat="false" ht="18" hidden="false" customHeight="true" outlineLevel="0" collapsed="false">
      <c r="B43" s="11" t="s">
        <v>46</v>
      </c>
      <c r="C43" s="12" t="n">
        <f aca="false">C25-C31-C39</f>
        <v>-2960</v>
      </c>
      <c r="D43" s="6"/>
      <c r="E43" s="7" t="s">
        <v>47</v>
      </c>
      <c r="F43" s="6"/>
    </row>
    <row r="44" customFormat="false" ht="18" hidden="false" customHeight="true" outlineLevel="0" collapsed="false">
      <c r="B44" s="11" t="s">
        <v>48</v>
      </c>
      <c r="C44" s="12" t="n">
        <f aca="false">C43/12</f>
        <v>-246.666666666667</v>
      </c>
      <c r="D44" s="6"/>
      <c r="E44" s="6"/>
      <c r="F44" s="6"/>
    </row>
    <row r="45" customFormat="false" ht="18" hidden="false" customHeight="true" outlineLevel="0" collapsed="false"/>
    <row r="46" customFormat="false" ht="7.5" hidden="false" customHeight="true" outlineLevel="0" collapsed="false"/>
    <row r="47" customFormat="false" ht="18" hidden="false" customHeight="true" outlineLevel="0" collapsed="false">
      <c r="B47" s="17" t="s">
        <v>49</v>
      </c>
      <c r="C47" s="17"/>
      <c r="D47" s="17"/>
      <c r="E47" s="17"/>
      <c r="F47" s="17"/>
    </row>
    <row r="48" customFormat="false" ht="18" hidden="false" customHeight="true" outlineLevel="0" collapsed="false">
      <c r="B48" s="18" t="s">
        <v>50</v>
      </c>
      <c r="C48" s="19" t="n">
        <f aca="false">C23/C6</f>
        <v>0.04</v>
      </c>
      <c r="D48" s="20"/>
      <c r="E48" s="21" t="s">
        <v>51</v>
      </c>
      <c r="F48" s="20"/>
    </row>
    <row r="49" customFormat="false" ht="18" hidden="false" customHeight="true" outlineLevel="0" collapsed="false">
      <c r="B49" s="18" t="s">
        <v>52</v>
      </c>
      <c r="C49" s="22" t="n">
        <f aca="false">C14/C6</f>
        <v>0.05</v>
      </c>
      <c r="D49" s="20"/>
      <c r="E49" s="21" t="s">
        <v>53</v>
      </c>
      <c r="F49" s="20"/>
    </row>
    <row r="50" customFormat="false" ht="18" hidden="false" customHeight="true" outlineLevel="0" collapsed="false">
      <c r="B50" s="20"/>
      <c r="C50" s="20"/>
      <c r="D50" s="20"/>
      <c r="E50" s="20"/>
      <c r="F50" s="20"/>
    </row>
    <row r="51" customFormat="false" ht="18" hidden="false" customHeight="true" outlineLevel="0" collapsed="false">
      <c r="B51" s="23" t="s">
        <v>54</v>
      </c>
      <c r="C51" s="19" t="n">
        <f aca="false">(C25-C31)/C15</f>
        <v>0.0325079365079365</v>
      </c>
      <c r="D51" s="20"/>
      <c r="E51" s="21" t="s">
        <v>55</v>
      </c>
      <c r="F51" s="20"/>
    </row>
    <row r="52" customFormat="false" ht="18" hidden="false" customHeight="true" outlineLevel="0" collapsed="false">
      <c r="B52" s="18" t="s">
        <v>56</v>
      </c>
      <c r="C52" s="24" t="n">
        <f aca="false">C25-C31</f>
        <v>10240</v>
      </c>
      <c r="D52" s="20"/>
      <c r="E52" s="21" t="s">
        <v>57</v>
      </c>
      <c r="F52" s="20"/>
    </row>
    <row r="53" customFormat="false" ht="18" hidden="false" customHeight="true" outlineLevel="0" collapsed="false">
      <c r="B53" s="20"/>
      <c r="C53" s="20"/>
      <c r="D53" s="20"/>
      <c r="E53" s="20"/>
      <c r="F53" s="20"/>
    </row>
    <row r="54" customFormat="false" ht="18" hidden="false" customHeight="true" outlineLevel="0" collapsed="false">
      <c r="B54" s="23" t="s">
        <v>58</v>
      </c>
      <c r="C54" s="19" t="n">
        <f aca="false">IF(C35&gt;0,(C25-C31-C40)/C35,0)</f>
        <v>0.0245333333333333</v>
      </c>
      <c r="D54" s="20"/>
      <c r="E54" s="21" t="s">
        <v>59</v>
      </c>
      <c r="F54" s="20"/>
    </row>
    <row r="55" customFormat="false" ht="18" hidden="false" customHeight="true" outlineLevel="0" collapsed="false">
      <c r="B55" s="18" t="s">
        <v>60</v>
      </c>
      <c r="C55" s="22" t="n">
        <f aca="false">IF(C35&gt;0,C43/C35,0)</f>
        <v>-0.0394666666666667</v>
      </c>
      <c r="D55" s="20"/>
      <c r="E55" s="21" t="s">
        <v>61</v>
      </c>
      <c r="F55" s="20"/>
    </row>
    <row r="56" customFormat="false" ht="18" hidden="false" customHeight="true" outlineLevel="0" collapsed="false">
      <c r="B56" s="20"/>
      <c r="C56" s="20"/>
      <c r="D56" s="20"/>
      <c r="E56" s="20"/>
      <c r="F56" s="20"/>
    </row>
    <row r="57" customFormat="false" ht="18" hidden="false" customHeight="true" outlineLevel="0" collapsed="false">
      <c r="B57" s="18" t="s">
        <v>62</v>
      </c>
      <c r="C57" s="25" t="n">
        <f aca="false">IF(C23&gt;0,C6/C23,0)</f>
        <v>25</v>
      </c>
      <c r="D57" s="20"/>
      <c r="E57" s="21" t="s">
        <v>63</v>
      </c>
      <c r="F57" s="20"/>
    </row>
    <row r="58" customFormat="false" ht="18" hidden="false" customHeight="true" outlineLevel="0" collapsed="false">
      <c r="B58" s="18" t="s">
        <v>64</v>
      </c>
      <c r="C58" s="25" t="n">
        <f aca="false">IF(C25-C31&gt;0,C15/(C25-C31),0)</f>
        <v>30.76171875</v>
      </c>
      <c r="D58" s="20"/>
      <c r="E58" s="21" t="s">
        <v>65</v>
      </c>
      <c r="F58" s="20"/>
    </row>
    <row r="59" customFormat="false" ht="18" hidden="false" customHeight="true" outlineLevel="0" collapsed="false"/>
    <row r="60" customFormat="false" ht="18" hidden="false" customHeight="true" outlineLevel="0" collapsed="false">
      <c r="B60" s="26" t="s">
        <v>66</v>
      </c>
      <c r="C60" s="26"/>
      <c r="D60" s="26"/>
      <c r="E60" s="26"/>
      <c r="F60" s="26"/>
    </row>
    <row r="61" customFormat="false" ht="18" hidden="false" customHeight="true" outlineLevel="0" collapsed="false">
      <c r="B61" s="27" t="s">
        <v>67</v>
      </c>
      <c r="C61" s="28" t="s">
        <v>68</v>
      </c>
      <c r="D61" s="28"/>
      <c r="E61" s="28"/>
      <c r="F61" s="28"/>
    </row>
    <row r="62" customFormat="false" ht="18" hidden="false" customHeight="true" outlineLevel="0" collapsed="false">
      <c r="B62" s="27" t="s">
        <v>69</v>
      </c>
      <c r="C62" s="28" t="s">
        <v>70</v>
      </c>
      <c r="D62" s="28"/>
      <c r="E62" s="28"/>
      <c r="F62" s="28"/>
    </row>
    <row r="63" customFormat="false" ht="18" hidden="false" customHeight="true" outlineLevel="0" collapsed="false">
      <c r="B63" s="27" t="s">
        <v>71</v>
      </c>
      <c r="C63" s="28" t="s">
        <v>72</v>
      </c>
      <c r="D63" s="28"/>
      <c r="E63" s="28"/>
      <c r="F63" s="28"/>
    </row>
    <row r="64" customFormat="false" ht="18" hidden="false" customHeight="true" outlineLevel="0" collapsed="false">
      <c r="B64" s="27" t="s">
        <v>73</v>
      </c>
      <c r="C64" s="28" t="s">
        <v>74</v>
      </c>
      <c r="D64" s="28"/>
      <c r="E64" s="28"/>
      <c r="F64" s="28"/>
    </row>
    <row r="65" customFormat="false" ht="18" hidden="false" customHeight="true" outlineLevel="0" collapsed="false">
      <c r="B65" s="27" t="s">
        <v>75</v>
      </c>
      <c r="C65" s="28" t="s">
        <v>76</v>
      </c>
      <c r="D65" s="28"/>
      <c r="E65" s="28"/>
      <c r="F65" s="28"/>
    </row>
    <row r="66" customFormat="false" ht="18" hidden="false" customHeight="true" outlineLevel="0" collapsed="false"/>
    <row r="67" customFormat="false" ht="18" hidden="false" customHeight="true" outlineLevel="0" collapsed="false">
      <c r="B67" s="26" t="s">
        <v>77</v>
      </c>
      <c r="C67" s="26"/>
      <c r="D67" s="26"/>
      <c r="E67" s="26"/>
      <c r="F67" s="26"/>
    </row>
    <row r="68" customFormat="false" ht="18" hidden="false" customHeight="true" outlineLevel="0" collapsed="false">
      <c r="B68" s="29" t="s">
        <v>78</v>
      </c>
      <c r="C68" s="30" t="s">
        <v>79</v>
      </c>
      <c r="D68" s="30"/>
      <c r="E68" s="30"/>
      <c r="F68" s="30"/>
    </row>
    <row r="69" customFormat="false" ht="18" hidden="false" customHeight="true" outlineLevel="0" collapsed="false">
      <c r="B69" s="31" t="s">
        <v>78</v>
      </c>
      <c r="C69" s="30" t="s">
        <v>80</v>
      </c>
      <c r="D69" s="30"/>
      <c r="E69" s="30"/>
      <c r="F69" s="30"/>
    </row>
    <row r="70" customFormat="false" ht="15" hidden="false" customHeight="false" outlineLevel="0" collapsed="false">
      <c r="B70" s="32" t="s">
        <v>78</v>
      </c>
      <c r="C70" s="30" t="s">
        <v>81</v>
      </c>
      <c r="D70" s="30"/>
      <c r="E70" s="30"/>
      <c r="F70" s="30"/>
    </row>
  </sheetData>
  <mergeCells count="17">
    <mergeCell ref="B2:F2"/>
    <mergeCell ref="B3:F3"/>
    <mergeCell ref="B5:F5"/>
    <mergeCell ref="B13:F13"/>
    <mergeCell ref="B21:F21"/>
    <mergeCell ref="B34:F34"/>
    <mergeCell ref="B47:F47"/>
    <mergeCell ref="B60:F60"/>
    <mergeCell ref="C61:F61"/>
    <mergeCell ref="C62:F62"/>
    <mergeCell ref="C63:F63"/>
    <mergeCell ref="C64:F64"/>
    <mergeCell ref="C65:F65"/>
    <mergeCell ref="B67:F67"/>
    <mergeCell ref="C68:F68"/>
    <mergeCell ref="C69:F69"/>
    <mergeCell ref="C70:F7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14" topLeftCell="C15" activePane="bottomRight" state="frozen"/>
      <selection pane="topLeft" activeCell="A1" activeCellId="0" sqref="A1"/>
      <selection pane="topRight" activeCell="C1" activeCellId="0" sqref="C1"/>
      <selection pane="bottomLeft" activeCell="A15" activeCellId="0" sqref="A15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13" min="3" style="0" width="13"/>
    <col collapsed="false" customWidth="true" hidden="false" outlineLevel="0" max="14" min="14" style="0" width="14"/>
  </cols>
  <sheetData>
    <row r="1" customFormat="false" ht="31.5" hidden="false" customHeight="true" outlineLevel="0" collapsed="false">
      <c r="B1" s="33" t="s">
        <v>82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customFormat="false" ht="15" hidden="false" customHeight="false" outlineLevel="0" collapsed="false">
      <c r="B2" s="2" t="s">
        <v>83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4" customFormat="false" ht="15" hidden="false" customHeight="false" outlineLevel="0" collapsed="false">
      <c r="B4" s="34" t="s">
        <v>84</v>
      </c>
      <c r="C4" s="34"/>
      <c r="D4" s="34"/>
    </row>
    <row r="5" customFormat="false" ht="15" hidden="false" customHeight="false" outlineLevel="0" collapsed="false">
      <c r="B5" s="35" t="s">
        <v>85</v>
      </c>
      <c r="C5" s="36" t="n">
        <f aca="false">'Rendite-Rechner'!C22</f>
        <v>1000</v>
      </c>
    </row>
    <row r="6" customFormat="false" ht="15" hidden="false" customHeight="false" outlineLevel="0" collapsed="false">
      <c r="B6" s="35" t="s">
        <v>86</v>
      </c>
      <c r="C6" s="37" t="n">
        <v>0.02</v>
      </c>
      <c r="D6" s="38" t="s">
        <v>87</v>
      </c>
    </row>
    <row r="7" customFormat="false" ht="15" hidden="false" customHeight="false" outlineLevel="0" collapsed="false">
      <c r="B7" s="35" t="s">
        <v>88</v>
      </c>
      <c r="C7" s="37" t="n">
        <v>0.015</v>
      </c>
      <c r="D7" s="38" t="s">
        <v>89</v>
      </c>
    </row>
    <row r="8" customFormat="false" ht="15" hidden="false" customHeight="false" outlineLevel="0" collapsed="false">
      <c r="B8" s="35" t="s">
        <v>90</v>
      </c>
      <c r="C8" s="39" t="n">
        <f aca="false">'Rendite-Rechner'!C37</f>
        <v>0.035</v>
      </c>
    </row>
    <row r="9" customFormat="false" ht="15" hidden="false" customHeight="false" outlineLevel="0" collapsed="false">
      <c r="B9" s="35" t="s">
        <v>91</v>
      </c>
      <c r="C9" s="37" t="n">
        <v>0.02</v>
      </c>
      <c r="D9" s="38" t="s">
        <v>92</v>
      </c>
    </row>
    <row r="10" customFormat="false" ht="15" hidden="false" customHeight="false" outlineLevel="0" collapsed="false">
      <c r="B10" s="35" t="s">
        <v>93</v>
      </c>
      <c r="C10" s="40" t="n">
        <v>210000</v>
      </c>
    </row>
    <row r="11" customFormat="false" ht="15" hidden="false" customHeight="false" outlineLevel="0" collapsed="false">
      <c r="B11" s="35" t="s">
        <v>94</v>
      </c>
      <c r="C11" s="37" t="n">
        <v>0.42</v>
      </c>
      <c r="D11" s="38" t="s">
        <v>95</v>
      </c>
    </row>
    <row r="13" customFormat="false" ht="15" hidden="false" customHeight="false" outlineLevel="0" collapsed="false">
      <c r="B13" s="41" t="s">
        <v>96</v>
      </c>
      <c r="C13" s="42" t="s">
        <v>97</v>
      </c>
      <c r="D13" s="42" t="s">
        <v>98</v>
      </c>
      <c r="E13" s="42" t="s">
        <v>99</v>
      </c>
      <c r="F13" s="42" t="s">
        <v>100</v>
      </c>
      <c r="G13" s="42" t="s">
        <v>101</v>
      </c>
      <c r="H13" s="42" t="s">
        <v>102</v>
      </c>
      <c r="I13" s="42" t="s">
        <v>103</v>
      </c>
      <c r="J13" s="42" t="s">
        <v>104</v>
      </c>
      <c r="K13" s="42" t="s">
        <v>105</v>
      </c>
      <c r="L13" s="42" t="s">
        <v>106</v>
      </c>
      <c r="M13" s="43" t="s">
        <v>107</v>
      </c>
    </row>
    <row r="14" customFormat="false" ht="15" hidden="false" customHeight="false" outlineLevel="0" collapsed="false">
      <c r="B14" s="41"/>
      <c r="C14" s="44" t="s">
        <v>108</v>
      </c>
      <c r="D14" s="44" t="s">
        <v>109</v>
      </c>
      <c r="E14" s="44" t="s">
        <v>110</v>
      </c>
      <c r="F14" s="44" t="s">
        <v>111</v>
      </c>
      <c r="G14" s="44" t="s">
        <v>112</v>
      </c>
      <c r="H14" s="44" t="s">
        <v>113</v>
      </c>
      <c r="I14" s="44" t="s">
        <v>114</v>
      </c>
      <c r="J14" s="44" t="s">
        <v>115</v>
      </c>
      <c r="K14" s="44" t="s">
        <v>116</v>
      </c>
      <c r="L14" s="44" t="s">
        <v>117</v>
      </c>
      <c r="M14" s="45" t="s">
        <v>118</v>
      </c>
    </row>
    <row r="15" customFormat="false" ht="16.5" hidden="false" customHeight="true" outlineLevel="0" collapsed="false">
      <c r="B15" s="46" t="s">
        <v>119</v>
      </c>
      <c r="C15" s="47" t="n">
        <f aca="false">'Rendite-Rechner'!C23</f>
        <v>12000</v>
      </c>
      <c r="D15" s="47" t="n">
        <f aca="false">'Rendite-Rechner'!C23*(1+$C$6)^1</f>
        <v>12240</v>
      </c>
      <c r="E15" s="47" t="n">
        <f aca="false">'Rendite-Rechner'!C23*(1+$C$6)^2</f>
        <v>12484.8</v>
      </c>
      <c r="F15" s="47" t="n">
        <f aca="false">'Rendite-Rechner'!C23*(1+$C$6)^3</f>
        <v>12734.496</v>
      </c>
      <c r="G15" s="47" t="n">
        <f aca="false">'Rendite-Rechner'!C23*(1+$C$6)^4</f>
        <v>12989.18592</v>
      </c>
      <c r="H15" s="47" t="n">
        <f aca="false">'Rendite-Rechner'!C23*(1+$C$6)^5</f>
        <v>13248.9696384</v>
      </c>
      <c r="I15" s="47" t="n">
        <f aca="false">'Rendite-Rechner'!C23*(1+$C$6)^6</f>
        <v>13513.949031168</v>
      </c>
      <c r="J15" s="47" t="n">
        <f aca="false">'Rendite-Rechner'!C23*(1+$C$6)^7</f>
        <v>13784.2280117914</v>
      </c>
      <c r="K15" s="47" t="n">
        <f aca="false">'Rendite-Rechner'!C23*(1+$C$6)^8</f>
        <v>14059.9125720272</v>
      </c>
      <c r="L15" s="47" t="n">
        <f aca="false">'Rendite-Rechner'!C23*(1+$C$6)^9</f>
        <v>14341.1108234677</v>
      </c>
      <c r="M15" s="48" t="n">
        <f aca="false">SUM(C15:L15)</f>
        <v>131396.651996854</v>
      </c>
    </row>
    <row r="16" customFormat="false" ht="16.5" hidden="false" customHeight="true" outlineLevel="0" collapsed="false">
      <c r="B16" s="49" t="s">
        <v>120</v>
      </c>
      <c r="C16" s="50" t="n">
        <f aca="false">-C15*'Rendite-Rechner'!C24</f>
        <v>-360</v>
      </c>
      <c r="D16" s="50" t="n">
        <f aca="false">-D15*'Rendite-Rechner'!C24</f>
        <v>-367.2</v>
      </c>
      <c r="E16" s="50" t="n">
        <f aca="false">-E15*'Rendite-Rechner'!C24</f>
        <v>-374.544</v>
      </c>
      <c r="F16" s="50" t="n">
        <f aca="false">-F15*'Rendite-Rechner'!C24</f>
        <v>-382.03488</v>
      </c>
      <c r="G16" s="50" t="n">
        <f aca="false">-G15*'Rendite-Rechner'!C24</f>
        <v>-389.6755776</v>
      </c>
      <c r="H16" s="50" t="n">
        <f aca="false">-H15*'Rendite-Rechner'!C24</f>
        <v>-397.469089152</v>
      </c>
      <c r="I16" s="50" t="n">
        <f aca="false">-I15*'Rendite-Rechner'!C24</f>
        <v>-405.41847093504</v>
      </c>
      <c r="J16" s="50" t="n">
        <f aca="false">-J15*'Rendite-Rechner'!C24</f>
        <v>-413.526840353741</v>
      </c>
      <c r="K16" s="50" t="n">
        <f aca="false">-K15*'Rendite-Rechner'!C24</f>
        <v>-421.797377160816</v>
      </c>
      <c r="L16" s="50" t="n">
        <f aca="false">-L15*'Rendite-Rechner'!C24</f>
        <v>-430.233324704032</v>
      </c>
      <c r="M16" s="48" t="n">
        <f aca="false">SUM(C16:L16)</f>
        <v>-3941.89955990563</v>
      </c>
    </row>
    <row r="17" customFormat="false" ht="16.5" hidden="false" customHeight="true" outlineLevel="0" collapsed="false">
      <c r="B17" s="51" t="s">
        <v>121</v>
      </c>
      <c r="C17" s="52" t="n">
        <f aca="false">C15+C16</f>
        <v>11640</v>
      </c>
      <c r="D17" s="52" t="n">
        <f aca="false">D15+D16</f>
        <v>11872.8</v>
      </c>
      <c r="E17" s="52" t="n">
        <f aca="false">E15+E16</f>
        <v>12110.256</v>
      </c>
      <c r="F17" s="52" t="n">
        <f aca="false">F15+F16</f>
        <v>12352.46112</v>
      </c>
      <c r="G17" s="52" t="n">
        <f aca="false">G15+G16</f>
        <v>12599.5103424</v>
      </c>
      <c r="H17" s="52" t="n">
        <f aca="false">H15+H16</f>
        <v>12851.500549248</v>
      </c>
      <c r="I17" s="52" t="n">
        <f aca="false">I15+I16</f>
        <v>13108.530560233</v>
      </c>
      <c r="J17" s="52" t="n">
        <f aca="false">J15+J16</f>
        <v>13370.7011714376</v>
      </c>
      <c r="K17" s="52" t="n">
        <f aca="false">K15+K16</f>
        <v>13638.1151948664</v>
      </c>
      <c r="L17" s="52" t="n">
        <f aca="false">L15+L16</f>
        <v>13910.8774987637</v>
      </c>
      <c r="M17" s="48" t="n">
        <f aca="false">SUM(C17:L17)</f>
        <v>127454.752436949</v>
      </c>
    </row>
    <row r="18" customFormat="false" ht="16.5" hidden="false" customHeight="true" outlineLevel="0" collapsed="false">
      <c r="B18" s="49" t="s">
        <v>122</v>
      </c>
      <c r="C18" s="50" t="n">
        <f aca="false">-'Rendite-Rechner'!C28</f>
        <v>-800</v>
      </c>
      <c r="D18" s="50" t="n">
        <f aca="false">-'Rendite-Rechner'!C28*(1+$C$7)^1</f>
        <v>-812</v>
      </c>
      <c r="E18" s="50" t="n">
        <f aca="false">-'Rendite-Rechner'!C28*(1+$C$7)^2</f>
        <v>-824.18</v>
      </c>
      <c r="F18" s="50" t="n">
        <f aca="false">-'Rendite-Rechner'!C28*(1+$C$7)^3</f>
        <v>-836.5427</v>
      </c>
      <c r="G18" s="50" t="n">
        <f aca="false">-'Rendite-Rechner'!C28*(1+$C$7)^4</f>
        <v>-849.0908405</v>
      </c>
      <c r="H18" s="50" t="n">
        <f aca="false">-'Rendite-Rechner'!C28*(1+$C$7)^5</f>
        <v>-861.8272031075</v>
      </c>
      <c r="I18" s="50" t="n">
        <f aca="false">-'Rendite-Rechner'!C28*(1+$C$7)^6</f>
        <v>-874.754611154112</v>
      </c>
      <c r="J18" s="50" t="n">
        <f aca="false">-'Rendite-Rechner'!C28*(1+$C$7)^7</f>
        <v>-887.875930321424</v>
      </c>
      <c r="K18" s="50" t="n">
        <f aca="false">-'Rendite-Rechner'!C28*(1+$C$7)^8</f>
        <v>-901.194069276245</v>
      </c>
      <c r="L18" s="50" t="n">
        <f aca="false">-'Rendite-Rechner'!C28*(1+$C$7)^9</f>
        <v>-914.711980315389</v>
      </c>
      <c r="M18" s="48" t="n">
        <f aca="false">SUM(C18:L18)</f>
        <v>-8562.17733467467</v>
      </c>
    </row>
    <row r="19" customFormat="false" ht="16.5" hidden="false" customHeight="true" outlineLevel="0" collapsed="false">
      <c r="B19" s="46" t="s">
        <v>123</v>
      </c>
      <c r="C19" s="47" t="n">
        <f aca="false">-'Rendite-Rechner'!C29</f>
        <v>-600</v>
      </c>
      <c r="D19" s="47" t="n">
        <f aca="false">-'Rendite-Rechner'!C29*(1+$C$7)^1</f>
        <v>-609</v>
      </c>
      <c r="E19" s="47" t="n">
        <f aca="false">-'Rendite-Rechner'!C29*(1+$C$7)^2</f>
        <v>-618.135</v>
      </c>
      <c r="F19" s="47" t="n">
        <f aca="false">-'Rendite-Rechner'!C29*(1+$C$7)^3</f>
        <v>-627.407025</v>
      </c>
      <c r="G19" s="47" t="n">
        <f aca="false">-'Rendite-Rechner'!C29*(1+$C$7)^4</f>
        <v>-636.818130375</v>
      </c>
      <c r="H19" s="47" t="n">
        <f aca="false">-'Rendite-Rechner'!C29*(1+$C$7)^5</f>
        <v>-646.370402330625</v>
      </c>
      <c r="I19" s="47" t="n">
        <f aca="false">-'Rendite-Rechner'!C29*(1+$C$7)^6</f>
        <v>-656.065958365584</v>
      </c>
      <c r="J19" s="47" t="n">
        <f aca="false">-'Rendite-Rechner'!C29*(1+$C$7)^7</f>
        <v>-665.906947741068</v>
      </c>
      <c r="K19" s="47" t="n">
        <f aca="false">-'Rendite-Rechner'!C29*(1+$C$7)^8</f>
        <v>-675.895551957184</v>
      </c>
      <c r="L19" s="47" t="n">
        <f aca="false">-'Rendite-Rechner'!C29*(1+$C$7)^9</f>
        <v>-686.033985236541</v>
      </c>
      <c r="M19" s="48" t="n">
        <f aca="false">SUM(C19:L19)</f>
        <v>-6421.633001006</v>
      </c>
    </row>
    <row r="20" customFormat="false" ht="16.5" hidden="false" customHeight="true" outlineLevel="0" collapsed="false">
      <c r="B20" s="49" t="s">
        <v>124</v>
      </c>
      <c r="C20" s="50" t="n">
        <f aca="false">-'Rendite-Rechner'!C30</f>
        <v>-0</v>
      </c>
      <c r="D20" s="50" t="n">
        <f aca="false">-'Rendite-Rechner'!C30*(1+$C$7)^1</f>
        <v>-0</v>
      </c>
      <c r="E20" s="50" t="n">
        <f aca="false">-'Rendite-Rechner'!C30*(1+$C$7)^2</f>
        <v>-0</v>
      </c>
      <c r="F20" s="50" t="n">
        <f aca="false">-'Rendite-Rechner'!C30*(1+$C$7)^3</f>
        <v>-0</v>
      </c>
      <c r="G20" s="50" t="n">
        <f aca="false">-'Rendite-Rechner'!C30*(1+$C$7)^4</f>
        <v>-0</v>
      </c>
      <c r="H20" s="50" t="n">
        <f aca="false">-'Rendite-Rechner'!C30*(1+$C$7)^5</f>
        <v>-0</v>
      </c>
      <c r="I20" s="50" t="n">
        <f aca="false">-'Rendite-Rechner'!C30*(1+$C$7)^6</f>
        <v>-0</v>
      </c>
      <c r="J20" s="50" t="n">
        <f aca="false">-'Rendite-Rechner'!C30*(1+$C$7)^7</f>
        <v>-0</v>
      </c>
      <c r="K20" s="50" t="n">
        <f aca="false">-'Rendite-Rechner'!C30*(1+$C$7)^8</f>
        <v>-0</v>
      </c>
      <c r="L20" s="50" t="n">
        <f aca="false">-'Rendite-Rechner'!C30*(1+$C$7)^9</f>
        <v>-0</v>
      </c>
      <c r="M20" s="48" t="n">
        <f aca="false">SUM(C20:L20)</f>
        <v>0</v>
      </c>
    </row>
    <row r="21" customFormat="false" ht="16.5" hidden="false" customHeight="true" outlineLevel="0" collapsed="false">
      <c r="B21" s="51" t="s">
        <v>125</v>
      </c>
      <c r="C21" s="52" t="n">
        <f aca="false">C17+C18+C19+C20</f>
        <v>10240</v>
      </c>
      <c r="D21" s="52" t="n">
        <f aca="false">D17+D18+D19+D20</f>
        <v>10451.8</v>
      </c>
      <c r="E21" s="52" t="n">
        <f aca="false">E17+E18+E19+E20</f>
        <v>10667.941</v>
      </c>
      <c r="F21" s="52" t="n">
        <f aca="false">F17+F18+F19+F20</f>
        <v>10888.511395</v>
      </c>
      <c r="G21" s="52" t="n">
        <f aca="false">G17+G18+G19+G20</f>
        <v>11113.601371525</v>
      </c>
      <c r="H21" s="52" t="n">
        <f aca="false">H17+H18+H19+H20</f>
        <v>11343.3029438099</v>
      </c>
      <c r="I21" s="52" t="n">
        <f aca="false">I17+I18+I19+I20</f>
        <v>11577.7099907133</v>
      </c>
      <c r="J21" s="52" t="n">
        <f aca="false">J17+J18+J19+J20</f>
        <v>11816.9182933751</v>
      </c>
      <c r="K21" s="52" t="n">
        <f aca="false">K17+K18+K19+K20</f>
        <v>12061.0255736329</v>
      </c>
      <c r="L21" s="52" t="n">
        <f aca="false">L17+L18+L19+L20</f>
        <v>12310.1315332118</v>
      </c>
      <c r="M21" s="48" t="n">
        <f aca="false">SUM(C21:L21)</f>
        <v>112470.942101268</v>
      </c>
    </row>
    <row r="22" customFormat="false" ht="16.5" hidden="false" customHeight="true" outlineLevel="0" collapsed="false">
      <c r="B22" s="46" t="s">
        <v>126</v>
      </c>
      <c r="C22" s="47" t="n">
        <f aca="false">-'Rendite-Rechner'!C40</f>
        <v>-8400</v>
      </c>
      <c r="D22" s="47" t="n">
        <f aca="false">-'Rendite-Rechner'!C40</f>
        <v>-8400</v>
      </c>
      <c r="E22" s="47" t="n">
        <f aca="false">-'Rendite-Rechner'!C40</f>
        <v>-8400</v>
      </c>
      <c r="F22" s="47" t="n">
        <f aca="false">-'Rendite-Rechner'!C40</f>
        <v>-8400</v>
      </c>
      <c r="G22" s="47" t="n">
        <f aca="false">-'Rendite-Rechner'!C40</f>
        <v>-8400</v>
      </c>
      <c r="H22" s="47" t="n">
        <f aca="false">-'Rendite-Rechner'!C40</f>
        <v>-8400</v>
      </c>
      <c r="I22" s="47" t="n">
        <f aca="false">-'Rendite-Rechner'!C40</f>
        <v>-8400</v>
      </c>
      <c r="J22" s="47" t="n">
        <f aca="false">-'Rendite-Rechner'!C40</f>
        <v>-8400</v>
      </c>
      <c r="K22" s="47" t="n">
        <f aca="false">-'Rendite-Rechner'!C40</f>
        <v>-8400</v>
      </c>
      <c r="L22" s="47" t="n">
        <f aca="false">-'Rendite-Rechner'!C40</f>
        <v>-8400</v>
      </c>
      <c r="M22" s="48" t="n">
        <f aca="false">SUM(C22:L22)</f>
        <v>-84000</v>
      </c>
    </row>
    <row r="23" customFormat="false" ht="16.5" hidden="false" customHeight="true" outlineLevel="0" collapsed="false">
      <c r="B23" s="49" t="s">
        <v>127</v>
      </c>
      <c r="C23" s="50" t="n">
        <f aca="false">-'Rendite-Rechner'!C41</f>
        <v>-4800</v>
      </c>
      <c r="D23" s="50" t="n">
        <f aca="false">-'Rendite-Rechner'!C41</f>
        <v>-4800</v>
      </c>
      <c r="E23" s="50" t="n">
        <f aca="false">-'Rendite-Rechner'!C41</f>
        <v>-4800</v>
      </c>
      <c r="F23" s="50" t="n">
        <f aca="false">-'Rendite-Rechner'!C41</f>
        <v>-4800</v>
      </c>
      <c r="G23" s="50" t="n">
        <f aca="false">-'Rendite-Rechner'!C41</f>
        <v>-4800</v>
      </c>
      <c r="H23" s="50" t="n">
        <f aca="false">-'Rendite-Rechner'!C41</f>
        <v>-4800</v>
      </c>
      <c r="I23" s="50" t="n">
        <f aca="false">-'Rendite-Rechner'!C41</f>
        <v>-4800</v>
      </c>
      <c r="J23" s="50" t="n">
        <f aca="false">-'Rendite-Rechner'!C41</f>
        <v>-4800</v>
      </c>
      <c r="K23" s="50" t="n">
        <f aca="false">-'Rendite-Rechner'!C41</f>
        <v>-4800</v>
      </c>
      <c r="L23" s="50" t="n">
        <f aca="false">-'Rendite-Rechner'!C41</f>
        <v>-4800</v>
      </c>
      <c r="M23" s="48" t="n">
        <f aca="false">SUM(C23:L23)</f>
        <v>-48000</v>
      </c>
    </row>
    <row r="24" customFormat="false" ht="16.5" hidden="false" customHeight="true" outlineLevel="0" collapsed="false">
      <c r="B24" s="53" t="s">
        <v>128</v>
      </c>
      <c r="C24" s="54" t="n">
        <f aca="false">C21+C22+C23</f>
        <v>-2960</v>
      </c>
      <c r="D24" s="54" t="n">
        <f aca="false">D21+D22+D23</f>
        <v>-2748.2</v>
      </c>
      <c r="E24" s="54" t="n">
        <f aca="false">E21+E22+E23</f>
        <v>-2532.059</v>
      </c>
      <c r="F24" s="54" t="n">
        <f aca="false">F21+F22+F23</f>
        <v>-2311.488605</v>
      </c>
      <c r="G24" s="54" t="n">
        <f aca="false">G21+G22+G23</f>
        <v>-2086.398628475</v>
      </c>
      <c r="H24" s="54" t="n">
        <f aca="false">H21+H22+H23</f>
        <v>-1856.69705619013</v>
      </c>
      <c r="I24" s="54" t="n">
        <f aca="false">I21+I22+I23</f>
        <v>-1622.29000928674</v>
      </c>
      <c r="J24" s="54" t="n">
        <f aca="false">J21+J22+J23</f>
        <v>-1383.08170662487</v>
      </c>
      <c r="K24" s="54" t="n">
        <f aca="false">K21+K22+K23</f>
        <v>-1138.97442636706</v>
      </c>
      <c r="L24" s="54" t="n">
        <f aca="false">L21+L22+L23</f>
        <v>-889.868466788232</v>
      </c>
      <c r="M24" s="48" t="n">
        <f aca="false">SUM(C24:L24)</f>
        <v>-19529.057898732</v>
      </c>
    </row>
    <row r="25" customFormat="false" ht="16.5" hidden="false" customHeight="true" outlineLevel="0" collapsed="false">
      <c r="B25" s="46" t="s">
        <v>129</v>
      </c>
      <c r="C25" s="47" t="n">
        <f aca="false">-$C$10*$C$9</f>
        <v>-4200</v>
      </c>
      <c r="D25" s="47" t="n">
        <f aca="false">-$C$10*$C$9</f>
        <v>-4200</v>
      </c>
      <c r="E25" s="47" t="n">
        <f aca="false">-$C$10*$C$9</f>
        <v>-4200</v>
      </c>
      <c r="F25" s="47" t="n">
        <f aca="false">-$C$10*$C$9</f>
        <v>-4200</v>
      </c>
      <c r="G25" s="47" t="n">
        <f aca="false">-$C$10*$C$9</f>
        <v>-4200</v>
      </c>
      <c r="H25" s="47" t="n">
        <f aca="false">-$C$10*$C$9</f>
        <v>-4200</v>
      </c>
      <c r="I25" s="47" t="n">
        <f aca="false">-$C$10*$C$9</f>
        <v>-4200</v>
      </c>
      <c r="J25" s="47" t="n">
        <f aca="false">-$C$10*$C$9</f>
        <v>-4200</v>
      </c>
      <c r="K25" s="47" t="n">
        <f aca="false">-$C$10*$C$9</f>
        <v>-4200</v>
      </c>
      <c r="L25" s="47" t="n">
        <f aca="false">-$C$10*$C$9</f>
        <v>-4200</v>
      </c>
      <c r="M25" s="48" t="n">
        <f aca="false">SUM(C25:L25)</f>
        <v>-42000</v>
      </c>
    </row>
    <row r="26" customFormat="false" ht="16.5" hidden="false" customHeight="true" outlineLevel="0" collapsed="false">
      <c r="B26" s="49" t="s">
        <v>130</v>
      </c>
      <c r="C26" s="50" t="n">
        <f aca="false">C21+C22+C23-C25</f>
        <v>1240</v>
      </c>
      <c r="D26" s="50" t="n">
        <f aca="false">D21+D22+D23-D25</f>
        <v>1451.8</v>
      </c>
      <c r="E26" s="50" t="n">
        <f aca="false">E21+E22+E23-E25</f>
        <v>1667.941</v>
      </c>
      <c r="F26" s="50" t="n">
        <f aca="false">F21+F22+F23-F25</f>
        <v>1888.511395</v>
      </c>
      <c r="G26" s="50" t="n">
        <f aca="false">G21+G22+G23-G25</f>
        <v>2113.601371525</v>
      </c>
      <c r="H26" s="50" t="n">
        <f aca="false">H21+H22+H23-H25</f>
        <v>2343.30294380987</v>
      </c>
      <c r="I26" s="50" t="n">
        <f aca="false">I21+I22+I23-I25</f>
        <v>2577.70999071326</v>
      </c>
      <c r="J26" s="50" t="n">
        <f aca="false">J21+J22+J23-J25</f>
        <v>2816.91829337513</v>
      </c>
      <c r="K26" s="50" t="n">
        <f aca="false">K21+K22+K23-K25</f>
        <v>3061.02557363294</v>
      </c>
      <c r="L26" s="50" t="n">
        <f aca="false">L21+L22+L23-L25</f>
        <v>3310.13153321177</v>
      </c>
      <c r="M26" s="48" t="n">
        <f aca="false">SUM(C26:L26)</f>
        <v>22470.942101268</v>
      </c>
    </row>
    <row r="27" customFormat="false" ht="16.5" hidden="false" customHeight="true" outlineLevel="0" collapsed="false">
      <c r="B27" s="46" t="s">
        <v>131</v>
      </c>
      <c r="C27" s="47" t="n">
        <f aca="false">-MAX(0,C26*$C$11)</f>
        <v>-520.799999999999</v>
      </c>
      <c r="D27" s="47" t="n">
        <f aca="false">-MAX(0,D26*$C$11)</f>
        <v>-609.755999999999</v>
      </c>
      <c r="E27" s="47" t="n">
        <f aca="false">-MAX(0,E26*$C$11)</f>
        <v>-700.535219999999</v>
      </c>
      <c r="F27" s="47" t="n">
        <f aca="false">-MAX(0,F26*$C$11)</f>
        <v>-793.1747859</v>
      </c>
      <c r="G27" s="47" t="n">
        <f aca="false">-MAX(0,G26*$C$11)</f>
        <v>-887.7125760405</v>
      </c>
      <c r="H27" s="47" t="n">
        <f aca="false">-MAX(0,H26*$C$11)</f>
        <v>-984.187236400147</v>
      </c>
      <c r="I27" s="47" t="n">
        <f aca="false">-MAX(0,I26*$C$11)</f>
        <v>-1082.63819609957</v>
      </c>
      <c r="J27" s="47" t="n">
        <f aca="false">-MAX(0,J26*$C$11)</f>
        <v>-1183.10568321755</v>
      </c>
      <c r="K27" s="47" t="n">
        <f aca="false">-MAX(0,K26*$C$11)</f>
        <v>-1285.63074092584</v>
      </c>
      <c r="L27" s="47" t="n">
        <f aca="false">-MAX(0,L26*$C$11)</f>
        <v>-1390.25524394894</v>
      </c>
      <c r="M27" s="48" t="n">
        <f aca="false">SUM(C27:L27)</f>
        <v>-9437.79568253255</v>
      </c>
    </row>
    <row r="28" customFormat="false" ht="16.5" hidden="false" customHeight="true" outlineLevel="0" collapsed="false">
      <c r="B28" s="55" t="s">
        <v>132</v>
      </c>
      <c r="C28" s="56" t="n">
        <f aca="false">C24+C27</f>
        <v>-3480.8</v>
      </c>
      <c r="D28" s="56" t="n">
        <f aca="false">D24+D27</f>
        <v>-3357.956</v>
      </c>
      <c r="E28" s="56" t="n">
        <f aca="false">E24+E27</f>
        <v>-3232.59422</v>
      </c>
      <c r="F28" s="56" t="n">
        <f aca="false">F24+F27</f>
        <v>-3104.6633909</v>
      </c>
      <c r="G28" s="56" t="n">
        <f aca="false">G24+G27</f>
        <v>-2974.1112045155</v>
      </c>
      <c r="H28" s="56" t="n">
        <f aca="false">H24+H27</f>
        <v>-2840.88429259027</v>
      </c>
      <c r="I28" s="56" t="n">
        <f aca="false">I24+I27</f>
        <v>-2704.92820538631</v>
      </c>
      <c r="J28" s="56" t="n">
        <f aca="false">J24+J27</f>
        <v>-2566.18738984243</v>
      </c>
      <c r="K28" s="56" t="n">
        <f aca="false">K24+K27</f>
        <v>-2424.60516729289</v>
      </c>
      <c r="L28" s="56" t="n">
        <f aca="false">L24+L27</f>
        <v>-2280.12371073717</v>
      </c>
      <c r="M28" s="48" t="n">
        <f aca="false">SUM(C28:L28)</f>
        <v>-28966.8535812646</v>
      </c>
    </row>
    <row r="29" customFormat="false" ht="16.5" hidden="false" customHeight="true" outlineLevel="0" collapsed="false">
      <c r="B29" s="57" t="s">
        <v>133</v>
      </c>
      <c r="C29" s="58" t="n">
        <f aca="false">IF('Rendite-Rechner'!C35&gt;0,C28/'Rendite-Rechner'!C35,0)</f>
        <v>-0.0464106666666667</v>
      </c>
      <c r="D29" s="58" t="n">
        <f aca="false">IF('Rendite-Rechner'!C35&gt;0,D28/'Rendite-Rechner'!C35,0)</f>
        <v>-0.0447727466666667</v>
      </c>
      <c r="E29" s="58" t="n">
        <f aca="false">IF('Rendite-Rechner'!C35&gt;0,E28/'Rendite-Rechner'!C35,0)</f>
        <v>-0.0431012562666667</v>
      </c>
      <c r="F29" s="58" t="n">
        <f aca="false">IF('Rendite-Rechner'!C35&gt;0,F28/'Rendite-Rechner'!C35,0)</f>
        <v>-0.0413955118786667</v>
      </c>
      <c r="G29" s="58" t="n">
        <f aca="false">IF('Rendite-Rechner'!C35&gt;0,G28/'Rendite-Rechner'!C35,0)</f>
        <v>-0.0396548160602067</v>
      </c>
      <c r="H29" s="58" t="n">
        <f aca="false">IF('Rendite-Rechner'!C35&gt;0,H28/'Rendite-Rechner'!C35,0)</f>
        <v>-0.037878457234537</v>
      </c>
      <c r="I29" s="58" t="n">
        <f aca="false">IF('Rendite-Rechner'!C35&gt;0,I28/'Rendite-Rechner'!C35,0)</f>
        <v>-0.0360657094051508</v>
      </c>
      <c r="J29" s="58" t="n">
        <f aca="false">IF('Rendite-Rechner'!C35&gt;0,J28/'Rendite-Rechner'!C35,0)</f>
        <v>-0.0342158318645657</v>
      </c>
      <c r="K29" s="58" t="n">
        <f aca="false">IF('Rendite-Rechner'!C35&gt;0,K28/'Rendite-Rechner'!C35,0)</f>
        <v>-0.0323280688972386</v>
      </c>
      <c r="L29" s="58" t="n">
        <f aca="false">IF('Rendite-Rechner'!C35&gt;0,L28/'Rendite-Rechner'!C35,0)</f>
        <v>-0.0304016494764957</v>
      </c>
      <c r="M29" s="59" t="n">
        <f aca="false">AVERAGE(C29:L29)</f>
        <v>-0.0386224714416861</v>
      </c>
    </row>
  </sheetData>
  <mergeCells count="4">
    <mergeCell ref="B1:N1"/>
    <mergeCell ref="B2:N2"/>
    <mergeCell ref="B4:D4"/>
    <mergeCell ref="B13:B1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C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8"/>
    <col collapsed="false" customWidth="true" hidden="false" outlineLevel="0" max="3" min="3" style="0" width="55"/>
    <col collapsed="false" customWidth="true" hidden="false" outlineLevel="0" max="4" min="4" style="0" width="3"/>
  </cols>
  <sheetData>
    <row r="1" customFormat="false" ht="31.5" hidden="false" customHeight="true" outlineLevel="0" collapsed="false">
      <c r="B1" s="33" t="s">
        <v>134</v>
      </c>
      <c r="C1" s="33"/>
    </row>
    <row r="2" customFormat="false" ht="15" hidden="false" customHeight="false" outlineLevel="0" collapsed="false">
      <c r="B2" s="2" t="s">
        <v>135</v>
      </c>
      <c r="C2" s="2"/>
    </row>
    <row r="4" customFormat="false" ht="21.75" hidden="false" customHeight="true" outlineLevel="0" collapsed="false">
      <c r="B4" s="60" t="s">
        <v>136</v>
      </c>
      <c r="C4" s="60" t="s">
        <v>137</v>
      </c>
    </row>
    <row r="5" customFormat="false" ht="27.75" hidden="false" customHeight="true" outlineLevel="0" collapsed="false">
      <c r="B5" s="61" t="s">
        <v>138</v>
      </c>
      <c r="C5" s="62" t="s">
        <v>139</v>
      </c>
    </row>
    <row r="6" customFormat="false" ht="27.75" hidden="false" customHeight="true" outlineLevel="0" collapsed="false">
      <c r="B6" s="63" t="s">
        <v>140</v>
      </c>
      <c r="C6" s="64" t="s">
        <v>141</v>
      </c>
    </row>
    <row r="7" customFormat="false" ht="27.75" hidden="false" customHeight="true" outlineLevel="0" collapsed="false">
      <c r="B7" s="61" t="s">
        <v>142</v>
      </c>
      <c r="C7" s="62" t="s">
        <v>143</v>
      </c>
    </row>
    <row r="8" customFormat="false" ht="27.75" hidden="false" customHeight="true" outlineLevel="0" collapsed="false">
      <c r="B8" s="63" t="s">
        <v>144</v>
      </c>
      <c r="C8" s="64" t="s">
        <v>145</v>
      </c>
    </row>
    <row r="9" customFormat="false" ht="27.75" hidden="false" customHeight="true" outlineLevel="0" collapsed="false">
      <c r="B9" s="61" t="s">
        <v>146</v>
      </c>
      <c r="C9" s="62" t="s">
        <v>147</v>
      </c>
    </row>
    <row r="10" customFormat="false" ht="27.75" hidden="false" customHeight="true" outlineLevel="0" collapsed="false">
      <c r="B10" s="63" t="s">
        <v>148</v>
      </c>
      <c r="C10" s="64" t="s">
        <v>149</v>
      </c>
    </row>
    <row r="11" customFormat="false" ht="27.75" hidden="false" customHeight="true" outlineLevel="0" collapsed="false">
      <c r="B11" s="61" t="s">
        <v>150</v>
      </c>
      <c r="C11" s="62" t="s">
        <v>151</v>
      </c>
    </row>
    <row r="12" customFormat="false" ht="27.75" hidden="false" customHeight="true" outlineLevel="0" collapsed="false">
      <c r="B12" s="63" t="s">
        <v>152</v>
      </c>
      <c r="C12" s="64" t="s">
        <v>153</v>
      </c>
    </row>
    <row r="15" customFormat="false" ht="21.75" hidden="false" customHeight="true" outlineLevel="0" collapsed="false">
      <c r="B15" s="3" t="s">
        <v>154</v>
      </c>
      <c r="C15" s="3"/>
    </row>
    <row r="16" customFormat="false" ht="19.5" hidden="false" customHeight="true" outlineLevel="0" collapsed="false">
      <c r="B16" s="65" t="s">
        <v>155</v>
      </c>
      <c r="C16" s="65" t="s">
        <v>156</v>
      </c>
    </row>
    <row r="17" customFormat="false" ht="19.5" hidden="false" customHeight="true" outlineLevel="0" collapsed="false">
      <c r="B17" s="46" t="s">
        <v>50</v>
      </c>
      <c r="C17" s="66" t="s">
        <v>157</v>
      </c>
    </row>
    <row r="18" customFormat="false" ht="19.5" hidden="false" customHeight="true" outlineLevel="0" collapsed="false">
      <c r="B18" s="49" t="s">
        <v>54</v>
      </c>
      <c r="C18" s="67" t="s">
        <v>158</v>
      </c>
    </row>
    <row r="19" customFormat="false" ht="19.5" hidden="false" customHeight="true" outlineLevel="0" collapsed="false">
      <c r="B19" s="46" t="s">
        <v>58</v>
      </c>
      <c r="C19" s="66" t="s">
        <v>159</v>
      </c>
    </row>
    <row r="20" customFormat="false" ht="19.5" hidden="false" customHeight="true" outlineLevel="0" collapsed="false">
      <c r="B20" s="49" t="s">
        <v>160</v>
      </c>
      <c r="C20" s="67" t="s">
        <v>161</v>
      </c>
    </row>
    <row r="21" customFormat="false" ht="19.5" hidden="false" customHeight="true" outlineLevel="0" collapsed="false">
      <c r="B21" s="46" t="s">
        <v>162</v>
      </c>
      <c r="C21" s="66" t="s">
        <v>163</v>
      </c>
    </row>
    <row r="22" customFormat="false" ht="19.5" hidden="false" customHeight="true" outlineLevel="0" collapsed="false">
      <c r="B22" s="49" t="s">
        <v>164</v>
      </c>
      <c r="C22" s="67" t="s">
        <v>165</v>
      </c>
    </row>
    <row r="23" customFormat="false" ht="19.5" hidden="false" customHeight="true" outlineLevel="0" collapsed="false">
      <c r="B23" s="46" t="s">
        <v>52</v>
      </c>
      <c r="C23" s="66" t="s">
        <v>166</v>
      </c>
    </row>
    <row r="24" customFormat="false" ht="19.5" hidden="false" customHeight="true" outlineLevel="0" collapsed="false">
      <c r="B24" s="49" t="s">
        <v>167</v>
      </c>
      <c r="C24" s="67" t="s">
        <v>168</v>
      </c>
    </row>
  </sheetData>
  <mergeCells count="3">
    <mergeCell ref="B1:C1"/>
    <mergeCell ref="B2:C2"/>
    <mergeCell ref="B15:C1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2026-04-15T06:42:41Z</dcterms:created>
  <dc:creator>openpyxl</dc:creator>
  <dc:description/>
  <dc:language>en-US</dc:language>
  <cp:lastModifiedBy/>
  <dcterms:modified xsi:type="dcterms:W3CDTF">2026-04-15T06:42:41Z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