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_Stammdaten" sheetId="1" state="visible" r:id="rId2"/>
    <sheet name="2_Personalkosten" sheetId="2" state="visible" r:id="rId3"/>
    <sheet name="3_Gemeinkosten" sheetId="3" state="visible" r:id="rId4"/>
    <sheet name="4_Minutensatz" sheetId="4" state="visible" r:id="rId5"/>
    <sheet name="5_Dienstleistungen" sheetId="5" state="visible" r:id="rId6"/>
    <sheet name="6_Rentabilitaet" sheetId="6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<sst xmlns="http://schemas.openxmlformats.org/spreadsheetml/2006/main" count="280" uniqueCount="233">
  <si>
    <t xml:space="preserve">KALKULATION FRISEUR – STAMMDATEN &amp; PARAMETER</t>
  </si>
  <si>
    <t xml:space="preserve">Geben Sie hier Ihre allgemeinen Betriebsparameter ein – alle anderen Blätter berechnen sich automatisch.</t>
  </si>
  <si>
    <t xml:space="preserve">Legende / Farbbedeutung</t>
  </si>
  <si>
    <t xml:space="preserve">Blauer Text</t>
  </si>
  <si>
    <t xml:space="preserve">Eingabe / Annahme (manuell anpassen)</t>
  </si>
  <si>
    <t xml:space="preserve">Grüner Text</t>
  </si>
  <si>
    <t xml:space="preserve">Verknüpfung aus einem anderen Blatt</t>
  </si>
  <si>
    <t xml:space="preserve">Schwarzer Text</t>
  </si>
  <si>
    <t xml:space="preserve">Berechnung (nicht manuell ändern)</t>
  </si>
  <si>
    <t xml:space="preserve">Gelber Hintergrund</t>
  </si>
  <si>
    <t xml:space="preserve">Wichtige Annahme – bitte prüfen</t>
  </si>
  <si>
    <t xml:space="preserve">A  |  Arbeitszeitparameter (Jahresbasis)</t>
  </si>
  <si>
    <t xml:space="preserve">Parameter</t>
  </si>
  <si>
    <t xml:space="preserve">Wert</t>
  </si>
  <si>
    <t xml:space="preserve">Einheit</t>
  </si>
  <si>
    <t xml:space="preserve">Hinweis</t>
  </si>
  <si>
    <t xml:space="preserve">Wochenarbeitsstunden je MA (Vollzeit)</t>
  </si>
  <si>
    <t xml:space="preserve">Std/Woche</t>
  </si>
  <si>
    <t xml:space="preserve">Vertragliche Wochenarbeitszeit</t>
  </si>
  <si>
    <t xml:space="preserve">Urlaubstage je MA (Jahres-∅)</t>
  </si>
  <si>
    <t xml:space="preserve">Tage/Jahr</t>
  </si>
  <si>
    <t xml:space="preserve">Gesetzl. Minimum: 20 AT (5-Tage-Woche)</t>
  </si>
  <si>
    <t xml:space="preserve">Durchschn. Krankheitstage je MA</t>
  </si>
  <si>
    <t xml:space="preserve">Branchendurchschnitt DE ~10 Tage</t>
  </si>
  <si>
    <t xml:space="preserve">Feiertage je Jahr</t>
  </si>
  <si>
    <t xml:space="preserve">Je nach Bundesland variabel</t>
  </si>
  <si>
    <t xml:space="preserve">Unproduktive Zeit (Leerlauf, Aufräumen etc.)</t>
  </si>
  <si>
    <t xml:space="preserve">%</t>
  </si>
  <si>
    <t xml:space="preserve">Typisch: 20–40 % der Anwesenheitszeit</t>
  </si>
  <si>
    <t xml:space="preserve">Arbeitswochen je Jahr</t>
  </si>
  <si>
    <t xml:space="preserve">Wochen</t>
  </si>
  <si>
    <t xml:space="preserve">Wird automatisch genutzt</t>
  </si>
  <si>
    <t xml:space="preserve">A  |  Berechnete Arbeitszeitwerte (automatisch)</t>
  </si>
  <si>
    <t xml:space="preserve">Kenngröße</t>
  </si>
  <si>
    <t xml:space="preserve">Formel / Erläuterung</t>
  </si>
  <si>
    <t xml:space="preserve">Brutto-Jahresstunden (je MA)</t>
  </si>
  <si>
    <t xml:space="preserve">Std/Jahr</t>
  </si>
  <si>
    <t xml:space="preserve">Wochen × Wochenstunden</t>
  </si>
  <si>
    <t xml:space="preserve">Abwesenheitstage gesamt (je MA)</t>
  </si>
  <si>
    <t xml:space="preserve">Urlaub + Krankheit + Feiertage</t>
  </si>
  <si>
    <t xml:space="preserve">Anwesenheitsstunden (je MA)</t>
  </si>
  <si>
    <t xml:space="preserve">Bruttostunden − Abwesenheit</t>
  </si>
  <si>
    <t xml:space="preserve">Produktive Stunden (je MA / Jahr)</t>
  </si>
  <si>
    <t xml:space="preserve">Anwesenheitszeit × (1 – Unproduktivanteil)</t>
  </si>
  <si>
    <t xml:space="preserve">Produktive Minuten (je MA / Jahr)</t>
  </si>
  <si>
    <t xml:space="preserve">Min/Jahr</t>
  </si>
  <si>
    <t xml:space="preserve">Produktive Stunden × 60</t>
  </si>
  <si>
    <t xml:space="preserve">Produktive Stunden (je MA / Monat)</t>
  </si>
  <si>
    <t xml:space="preserve">Std/Monat</t>
  </si>
  <si>
    <t xml:space="preserve">Produktive Jahresstunden ÷ 12</t>
  </si>
  <si>
    <t xml:space="preserve">B  |  Steuer- &amp; Kalkulationsparameter</t>
  </si>
  <si>
    <t xml:space="preserve">Mehrwertsteuersatz</t>
  </si>
  <si>
    <t xml:space="preserve">Standard-MwSt. Deutschland</t>
  </si>
  <si>
    <t xml:space="preserve">Gewinn- &amp; Wagniszuschlag</t>
  </si>
  <si>
    <t xml:space="preserve">Empfohlen: 10–20 % (vgl. Branchenwerte)</t>
  </si>
  <si>
    <t xml:space="preserve">Schwund-/Handlingsaufschlag Material</t>
  </si>
  <si>
    <t xml:space="preserve">Typisch 10–20 % auf Einkaufspreis</t>
  </si>
  <si>
    <t xml:space="preserve">AG-Sozialversicherungsanteil</t>
  </si>
  <si>
    <t xml:space="preserve">∅ Arbeitgeberanteil SV ~20–22 %</t>
  </si>
  <si>
    <t xml:space="preserve">PERSONALKOSTEN</t>
  </si>
  <si>
    <t xml:space="preserve">Erfassen Sie alle Mitarbeiter. Bruttolohn + AG-SV-Anteil + Sonderzahlungen = Gesamtpersonalkosten.</t>
  </si>
  <si>
    <t xml:space="preserve">AG-SV-Anteil aus Stammdaten (Blatt 1_Stammdaten, Zelle B35):  ='1_Stammdaten'!B35%  →  wird in Spalte E automatisch angewandt.</t>
  </si>
  <si>
    <t xml:space="preserve">Mitarbeiter / Funktion</t>
  </si>
  <si>
    <t xml:space="preserve">Std/
Woche</t>
  </si>
  <si>
    <t xml:space="preserve">Bruttolohn
(€/Monat)</t>
  </si>
  <si>
    <t xml:space="preserve">AG-SV-Anteil
(€/Monat)</t>
  </si>
  <si>
    <t xml:space="preserve">Gesamtkosten
Arbeitgeber
(€/Monat)</t>
  </si>
  <si>
    <t xml:space="preserve">Urlaubs-/
Weihn.geld
(€/Monat ∅)</t>
  </si>
  <si>
    <t xml:space="preserve">Weiter-
bildung
(€/Monat ∅)</t>
  </si>
  <si>
    <t xml:space="preserve">Gesamt
Personalkosten
(€/Monat)</t>
  </si>
  <si>
    <t xml:space="preserve">Produktive
Std/Monat</t>
  </si>
  <si>
    <t xml:space="preserve">Kosten je
prod. Std.
(€)</t>
  </si>
  <si>
    <t xml:space="preserve">Anteil an
Gesamt-PK
(%)</t>
  </si>
  <si>
    <t xml:space="preserve">Inhaberin / Inhaber (kalk.)</t>
  </si>
  <si>
    <t xml:space="preserve">Friseur/-in (Vollzeit)</t>
  </si>
  <si>
    <t xml:space="preserve">Friseur/-in (Teilzeit)</t>
  </si>
  <si>
    <t xml:space="preserve">Auszubildende/-r</t>
  </si>
  <si>
    <t xml:space="preserve">SUMME / GESAMT</t>
  </si>
  <si>
    <t xml:space="preserve">GEMEINKOSTEN – JAHRESÜBERSICHT</t>
  </si>
  <si>
    <t xml:space="preserve">Alle laufenden Fixkosten des Salons. Entnehmen Sie die Werte aus Ihrer BWA. Jahreswerte werden automatisch auf Monatsbasis umgerechnet.</t>
  </si>
  <si>
    <t xml:space="preserve">Kostenart</t>
  </si>
  <si>
    <t xml:space="preserve">Jahresbetrag (€)</t>
  </si>
  <si>
    <t xml:space="preserve">Monatsbetrag (€)</t>
  </si>
  <si>
    <t xml:space="preserve">Anteil (%)</t>
  </si>
  <si>
    <t xml:space="preserve">Quelle / Hinweis</t>
  </si>
  <si>
    <t xml:space="preserve">Raumkosten</t>
  </si>
  <si>
    <t xml:space="preserve">Miete / Pacht (netto)</t>
  </si>
  <si>
    <t xml:space="preserve">Mietvertrag</t>
  </si>
  <si>
    <t xml:space="preserve">Nebenkosten (Heizung, Wasser)</t>
  </si>
  <si>
    <t xml:space="preserve">NK-Abrechnung</t>
  </si>
  <si>
    <t xml:space="preserve">Strom</t>
  </si>
  <si>
    <t xml:space="preserve">Energieversorger</t>
  </si>
  <si>
    <t xml:space="preserve">Versicherungen &amp; Abgaben</t>
  </si>
  <si>
    <t xml:space="preserve">Betriebshaftpflicht</t>
  </si>
  <si>
    <t xml:space="preserve">Versicherungspolice</t>
  </si>
  <si>
    <t xml:space="preserve">Inhaltsversicherung</t>
  </si>
  <si>
    <t xml:space="preserve">Berufsgenossenschaft (BG)</t>
  </si>
  <si>
    <t xml:space="preserve">BG-Bescheid</t>
  </si>
  <si>
    <t xml:space="preserve">GEMA-Gebühren</t>
  </si>
  <si>
    <t xml:space="preserve">GEMA-Bescheid</t>
  </si>
  <si>
    <t xml:space="preserve">GEZ / Rundfunkbeitrag</t>
  </si>
  <si>
    <t xml:space="preserve">Rundfunkbeitrag</t>
  </si>
  <si>
    <t xml:space="preserve">Marketing &amp; IT</t>
  </si>
  <si>
    <t xml:space="preserve">Website &amp; Online-Marketing</t>
  </si>
  <si>
    <t xml:space="preserve">Agentur / Hosting</t>
  </si>
  <si>
    <t xml:space="preserve">Reservierungs-/Kassensoftware</t>
  </si>
  <si>
    <t xml:space="preserve">Softwarelizenz</t>
  </si>
  <si>
    <t xml:space="preserve">Werbematerial, Flyer etc.</t>
  </si>
  <si>
    <t xml:space="preserve">Druckerei</t>
  </si>
  <si>
    <t xml:space="preserve">Beratung &amp; Verwaltung</t>
  </si>
  <si>
    <t xml:space="preserve">Steuerberater / Buchführung</t>
  </si>
  <si>
    <t xml:space="preserve">Honorarrechnung</t>
  </si>
  <si>
    <t xml:space="preserve">Telefon / Internet</t>
  </si>
  <si>
    <t xml:space="preserve">Telefonanbieter</t>
  </si>
  <si>
    <t xml:space="preserve">Büro &amp; Verwaltungsmaterial</t>
  </si>
  <si>
    <t xml:space="preserve">Kasse</t>
  </si>
  <si>
    <t xml:space="preserve">Abschreibungen &amp; Investitionen</t>
  </si>
  <si>
    <t xml:space="preserve">AfA Einrichtung / Geräte</t>
  </si>
  <si>
    <t xml:space="preserve">AfA-Tabelle</t>
  </si>
  <si>
    <t xml:space="preserve">Wartung &amp; Reparaturen</t>
  </si>
  <si>
    <t xml:space="preserve">Erfahrungswert</t>
  </si>
  <si>
    <t xml:space="preserve">Sonstiges</t>
  </si>
  <si>
    <t xml:space="preserve">Sonstige Kosten (Puffer)</t>
  </si>
  <si>
    <t xml:space="preserve">Schätzwert</t>
  </si>
  <si>
    <t xml:space="preserve">SUMME GEMEINKOSTEN</t>
  </si>
  <si>
    <t xml:space="preserve">MINUTENSATZ-KALKULATION</t>
  </si>
  <si>
    <t xml:space="preserve">Der Minutensatz ist das Herzstück der Kalkulation. Er gibt an, wie viel der Salon pro abgerechneter Minute erwirtschaften muss, um alle Kosten zu decken und den Wunschgewinn zu erzielen.</t>
  </si>
  <si>
    <t xml:space="preserve">Eingaben (werden automatisch aus anderen Blättern gezogen)</t>
  </si>
  <si>
    <t xml:space="preserve">Quelle</t>
  </si>
  <si>
    <t xml:space="preserve">Monatliche Personalkosten (gesamt)</t>
  </si>
  <si>
    <t xml:space="preserve">€/Monat</t>
  </si>
  <si>
    <t xml:space="preserve">Blatt 2_Personalkosten</t>
  </si>
  <si>
    <t xml:space="preserve">Monatliche Gemeinkosten</t>
  </si>
  <si>
    <t xml:space="preserve">Blatt 3_Gemeinkosten</t>
  </si>
  <si>
    <t xml:space="preserve">Anzahl Mitarbeiter (produktiv)</t>
  </si>
  <si>
    <t xml:space="preserve">Personen</t>
  </si>
  <si>
    <t xml:space="preserve">Blatt 2_Personalkosten – Anzahl mit Eintrag</t>
  </si>
  <si>
    <t xml:space="preserve">Produktive Minuten je MA (Jahr)</t>
  </si>
  <si>
    <t xml:space="preserve">Min/Jahr/MA</t>
  </si>
  <si>
    <t xml:space="preserve">Blatt 1_Stammdaten</t>
  </si>
  <si>
    <t xml:space="preserve">Berechnung Minutensatz</t>
  </si>
  <si>
    <t xml:space="preserve">Kalkulationsschritt</t>
  </si>
  <si>
    <t xml:space="preserve">Gesamtkosten pro Monat (PK + GK)</t>
  </si>
  <si>
    <t xml:space="preserve">Personalkosten + Gemeinkosten</t>
  </si>
  <si>
    <t xml:space="preserve">Wunschgewinn (Aufschlag auf Gesamtkosten)</t>
  </si>
  <si>
    <t xml:space="preserve">Gesamtkosten × Gewinnzuschlag %</t>
  </si>
  <si>
    <t xml:space="preserve">Kalkulationsbasis (Kosten + Gewinn) / Monat</t>
  </si>
  <si>
    <t xml:space="preserve">Gesamtkosten × (1 + Gewinnzuschlag)</t>
  </si>
  <si>
    <t xml:space="preserve">Produktive Gesamtminuten aller MA / Monat</t>
  </si>
  <si>
    <t xml:space="preserve">Min/Monat</t>
  </si>
  <si>
    <t xml:space="preserve">Anzahl MA × Produktive Min/Jahr ÷ 12</t>
  </si>
  <si>
    <t xml:space="preserve">→  NETTO-MINUTENSATZ</t>
  </si>
  <si>
    <t xml:space="preserve">€/Minute</t>
  </si>
  <si>
    <t xml:space="preserve">Kalkulationsbasis ÷ Produktive Minuten</t>
  </si>
  <si>
    <t xml:space="preserve">Brutto-Minutensatz (inkl. MwSt.)</t>
  </si>
  <si>
    <t xml:space="preserve">MwSt.-Satz (aus Stammdaten)</t>
  </si>
  <si>
    <t xml:space="preserve">→  BRUTTO-MINUTENSATZ (inkl. MwSt.)</t>
  </si>
  <si>
    <t xml:space="preserve">DIENSTLEISTUNGS-MATRIX – PREISKALKULATION</t>
  </si>
  <si>
    <t xml:space="preserve">Der Minutensatz aus Blatt 4 wird automatisch verwendet. Geben Sie Dauer (Minuten), Materialverbrauch (g) und Einkaufspreis je 100 g ein.</t>
  </si>
  <si>
    <t xml:space="preserve">Netto-Minutensatz (aus Blatt 4):</t>
  </si>
  <si>
    <t xml:space="preserve">Dienstleistung</t>
  </si>
  <si>
    <t xml:space="preserve">Dauer
(Min)</t>
  </si>
  <si>
    <t xml:space="preserve">Zeitkosten
netto (€)</t>
  </si>
  <si>
    <t xml:space="preserve">Material-
verbrauch (g)</t>
  </si>
  <si>
    <t xml:space="preserve">EK-Preis
(€/100g)</t>
  </si>
  <si>
    <t xml:space="preserve">Materialkosten
netto (€)</t>
  </si>
  <si>
    <t xml:space="preserve">Netto-Preis
(€)</t>
  </si>
  <si>
    <t xml:space="preserve">MwSt.
(€)</t>
  </si>
  <si>
    <t xml:space="preserve">BRUTTO-
PREIS (€)</t>
  </si>
  <si>
    <t xml:space="preserve">Beschreibung / Hinweis</t>
  </si>
  <si>
    <t xml:space="preserve">Herrenschnitte</t>
  </si>
  <si>
    <t xml:space="preserve">Herrenschnitt (kurz)</t>
  </si>
  <si>
    <t xml:space="preserve">Waschen, Schneiden, Föhnen</t>
  </si>
  <si>
    <t xml:space="preserve">Herrenschnitt (lang)</t>
  </si>
  <si>
    <t xml:space="preserve">inkl. Styling</t>
  </si>
  <si>
    <t xml:space="preserve">Kinder-Haarschnitt (bis 14 J.)</t>
  </si>
  <si>
    <t xml:space="preserve">Bartpflege / Rasur</t>
  </si>
  <si>
    <t xml:space="preserve">Damenschnitte</t>
  </si>
  <si>
    <t xml:space="preserve">Damenschnitt (schulterlanges Haar)</t>
  </si>
  <si>
    <t xml:space="preserve">Damenschnitt (langes Haar)</t>
  </si>
  <si>
    <t xml:space="preserve">Pony nachschneiden</t>
  </si>
  <si>
    <t xml:space="preserve">Colorationen</t>
  </si>
  <si>
    <t xml:space="preserve">Tönung / Ansatzfarbe</t>
  </si>
  <si>
    <t xml:space="preserve">inkl. 80g Farbe, Einwirkzeit</t>
  </si>
  <si>
    <t xml:space="preserve">Strähnen (Folientechnik)</t>
  </si>
  <si>
    <t xml:space="preserve">inkl. 120g Farbe</t>
  </si>
  <si>
    <t xml:space="preserve">Balayage / Ombré</t>
  </si>
  <si>
    <t xml:space="preserve">aufwendige Technik</t>
  </si>
  <si>
    <t xml:space="preserve">Blondierung (komplett)</t>
  </si>
  <si>
    <t xml:space="preserve">Nuancierung / Toner</t>
  </si>
  <si>
    <t xml:space="preserve">Pflege &amp; Treatments</t>
  </si>
  <si>
    <t xml:space="preserve">Haarkur (intensive Pflege)</t>
  </si>
  <si>
    <t xml:space="preserve">Kopfhautpflege / Massage</t>
  </si>
  <si>
    <t xml:space="preserve">Keratin-Behandlung</t>
  </si>
  <si>
    <t xml:space="preserve">Styling</t>
  </si>
  <si>
    <t xml:space="preserve">Föhnfrisur (kurzes Haar)</t>
  </si>
  <si>
    <t xml:space="preserve">inkl. Styling-Produkt</t>
  </si>
  <si>
    <t xml:space="preserve">Föhnfrisur (langes Haar)</t>
  </si>
  <si>
    <t xml:space="preserve">Hochsteckfrisur / Braut</t>
  </si>
  <si>
    <t xml:space="preserve">Dauerwelle</t>
  </si>
  <si>
    <t xml:space="preserve">RENTABILITÄTS-ÜBERSICHT (MONATLICH)</t>
  </si>
  <si>
    <t xml:space="preserve">Alle Werte werden automatisch aus den anderen Blättern berechnet. Diese Seite gibt eine Gesamtübersicht der wirtschaftlichen Situation des Salons.</t>
  </si>
  <si>
    <t xml:space="preserve">Kostenzusammenfassung (Monat)</t>
  </si>
  <si>
    <t xml:space="preserve">Position</t>
  </si>
  <si>
    <t xml:space="preserve">Betrag (€/Monat)</t>
  </si>
  <si>
    <t xml:space="preserve">Personalkosten (inkl. AG-Anteile)</t>
  </si>
  <si>
    <t xml:space="preserve">Gemeinkosten (Fixkosten)</t>
  </si>
  <si>
    <t xml:space="preserve">Gesamtkosten (ohne Material)</t>
  </si>
  <si>
    <t xml:space="preserve">Wunschgewinn ('1_Stammdaten'!B33 %)</t>
  </si>
  <si>
    <t xml:space="preserve">Kalkulationsbasis (Kosten + Gewinn)</t>
  </si>
  <si>
    <t xml:space="preserve">Minutensatz &amp; Umsatzplanung</t>
  </si>
  <si>
    <t xml:space="preserve">Erläuterung</t>
  </si>
  <si>
    <t xml:space="preserve">→  Netto-Minutensatz</t>
  </si>
  <si>
    <t xml:space="preserve">€/Min</t>
  </si>
  <si>
    <t xml:space="preserve">Aus Blatt 4_Minutensatz</t>
  </si>
  <si>
    <t xml:space="preserve">Netto × (1 + MwSt.)</t>
  </si>
  <si>
    <t xml:space="preserve">Produktive Minuten gesamt / Monat</t>
  </si>
  <si>
    <t xml:space="preserve">5 MA × Produktive Std/Monat × 60</t>
  </si>
  <si>
    <t xml:space="preserve">Notwendiger Brutto-Monatsumsatz (break-even)</t>
  </si>
  <si>
    <t xml:space="preserve">Break-even inkl. Gewinnzuschlag</t>
  </si>
  <si>
    <t xml:space="preserve">Kostenanteile (Übersicht / Branchenrichtwerte)</t>
  </si>
  <si>
    <t xml:space="preserve">Kostenblock</t>
  </si>
  <si>
    <t xml:space="preserve">Ihr Wert (€/Monat)</t>
  </si>
  <si>
    <t xml:space="preserve">Branchenrichtwert</t>
  </si>
  <si>
    <t xml:space="preserve">Personalkosten</t>
  </si>
  <si>
    <t xml:space="preserve">ca. 45 %</t>
  </si>
  <si>
    <t xml:space="preserve">Gemeinkosten</t>
  </si>
  <si>
    <t xml:space="preserve">ca. 30 %</t>
  </si>
  <si>
    <t xml:space="preserve">Materialkosten (gesamt Salon, ~10%)</t>
  </si>
  <si>
    <t xml:space="preserve">≈ 10 %</t>
  </si>
  <si>
    <t xml:space="preserve">ca. 10 %</t>
  </si>
  <si>
    <t xml:space="preserve">Gewinn &amp; Risiko</t>
  </si>
  <si>
    <t xml:space="preserve">ca. 15 %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</si>
</sst>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"/>
    <numFmt numFmtId="166" formatCode="#,##0.0"/>
    <numFmt numFmtId="167" formatCode="0.0"/>
    <numFmt numFmtId="168" formatCode="#,##0.00"/>
    <numFmt numFmtId="169" formatCode="0.0%"/>
    <numFmt numFmtId="170" formatCode="\€#,##0.0000"/>
    <numFmt numFmtId="171" formatCode="\€#,##0.00"/>
  </numFmts>
  <fonts count="3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9"/>
      <color rgb="FF0000FF"/>
      <name val="Arial"/>
      <family val="0"/>
      <charset val="1"/>
    </font>
    <font>
      <sz val="10"/>
      <color rgb="FF000000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9"/>
      <color rgb="FF008000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sz val="9"/>
      <color rgb="FFFFFF00"/>
      <name val="Arial"/>
      <family val="0"/>
      <charset val="1"/>
    </font>
    <font>
      <b val="true"/>
      <sz val="9"/>
      <color rgb="FFFFFFFF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i val="true"/>
      <sz val="8"/>
      <color rgb="FF000000"/>
      <name val="Arial"/>
      <family val="0"/>
      <charset val="1"/>
    </font>
    <font>
      <i val="true"/>
      <sz val="9"/>
      <color rgb="FF008000"/>
      <name val="Arial"/>
      <family val="0"/>
      <charset val="1"/>
    </font>
    <font>
      <sz val="9"/>
      <color rgb="FF0000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color rgb="FF008000"/>
      <name val="Arial"/>
      <family val="0"/>
      <charset val="1"/>
    </font>
    <font>
      <i val="true"/>
      <sz val="8"/>
      <color rgb="FF008000"/>
      <name val="Arial"/>
      <family val="0"/>
      <charset val="1"/>
    </font>
    <font>
      <i val="true"/>
      <sz val="8"/>
      <color rgb="FF0000FF"/>
      <name val="Arial"/>
      <family val="0"/>
      <charset val="1"/>
    </font>
    <font>
      <b val="true"/>
      <sz val="11"/>
      <color rgb="FF2C1A0E"/>
      <name val="Arial"/>
      <family val="0"/>
      <charset val="1"/>
    </font>
    <font>
      <b val="true"/>
      <sz val="12"/>
      <color rgb="FF2C1A0E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9"/>
      <color rgb="FF008000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0"/>
      <color rgb="FF2C1A0E"/>
      <name val="Arial"/>
      <family val="0"/>
      <charset val="1"/>
    </font>
    <font>
      <i val="true"/>
      <sz val="9"/>
      <color rgb="FF000000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2C1A0E"/>
        <bgColor rgb="FF003300"/>
      </patternFill>
    </fill>
    <fill>
      <patternFill patternType="solid">
        <fgColor rgb="FF5C3A1E"/>
        <bgColor rgb="FF993300"/>
      </patternFill>
    </fill>
    <fill>
      <patternFill patternType="solid">
        <fgColor rgb="FFC87137"/>
        <bgColor rgb="FF8B5E3C"/>
      </patternFill>
    </fill>
    <fill>
      <patternFill patternType="solid">
        <fgColor rgb="FF8B5E3C"/>
        <bgColor rgb="FF808080"/>
      </patternFill>
    </fill>
    <fill>
      <patternFill patternType="solid">
        <fgColor rgb="FFFDF6EE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AE8C8"/>
        <bgColor rgb="FFFDF6EE"/>
      </patternFill>
    </fill>
    <fill>
      <patternFill patternType="solid">
        <fgColor rgb="FFFBD07A"/>
        <bgColor rgb="FFFAE8C8"/>
      </patternFill>
    </fill>
    <fill>
      <patternFill patternType="solid">
        <fgColor rgb="FFE8A838"/>
        <bgColor rgb="FFFFCC0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medium">
        <color rgb="FF5C3A1E"/>
      </left>
      <right/>
      <top style="medium">
        <color rgb="FF5C3A1E"/>
      </top>
      <bottom style="medium">
        <color rgb="FF5C3A1E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medium">
        <color rgb="FF5C3A1E"/>
      </left>
      <right style="medium">
        <color rgb="FF5C3A1E"/>
      </right>
      <top style="medium">
        <color rgb="FF5C3A1E"/>
      </top>
      <bottom style="medium">
        <color rgb="FF5C3A1E"/>
      </bottom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4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8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6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7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8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9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8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8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7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4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8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9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9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5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6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6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0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0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2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0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24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26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9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24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20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6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7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8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3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8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7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7" fillId="7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7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7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9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5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9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1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23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0" fontId="27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27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8" fillId="9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23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9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B5E3C"/>
      <rgbColor rgb="FF800080"/>
      <rgbColor rgb="FF008080"/>
      <rgbColor rgb="FFCCCCCC"/>
      <rgbColor rgb="FF808080"/>
      <rgbColor rgb="FF9999FF"/>
      <rgbColor rgb="FF993366"/>
      <rgbColor rgb="FFFDF6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AE8C8"/>
      <rgbColor rgb="FF99CCFF"/>
      <rgbColor rgb="FFFF99CC"/>
      <rgbColor rgb="FFCC99FF"/>
      <rgbColor rgb="FFFBD07A"/>
      <rgbColor rgb="FF3366FF"/>
      <rgbColor rgb="FF33CCCC"/>
      <rgbColor rgb="FF99CC00"/>
      <rgbColor rgb="FFFFCC00"/>
      <rgbColor rgb="FFE8A838"/>
      <rgbColor rgb="FFC87137"/>
      <rgbColor rgb="FF666699"/>
      <rgbColor rgb="FF969696"/>
      <rgbColor rgb="FF003366"/>
      <rgbColor rgb="FF339966"/>
      <rgbColor rgb="FF003300"/>
      <rgbColor rgb="FF2C1A0E"/>
      <rgbColor rgb="FF993300"/>
      <rgbColor rgb="FF993366"/>
      <rgbColor rgb="FF333399"/>
      <rgbColor rgb="FF5C3A1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6"/>
    <col collapsed="false" customWidth="true" hidden="false" outlineLevel="0" max="2" min="2" style="0" width="18"/>
    <col collapsed="false" customWidth="true" hidden="false" outlineLevel="0" max="3" min="3" style="0" width="20"/>
    <col collapsed="false" customWidth="true" hidden="false" outlineLevel="0" max="4" min="4" style="0" width="40"/>
  </cols>
  <sheetData>
    <row r="1" customFormat="false" ht="6" hidden="false" customHeight="true" outlineLevel="0" collapsed="false"/>
    <row r="2" customFormat="false" ht="36" hidden="false" customHeight="true" outlineLevel="0" collapsed="false">
      <c r="A2" s="1" t="s">
        <v>0</v>
      </c>
      <c r="B2" s="1"/>
      <c r="C2" s="1"/>
      <c r="D2" s="1"/>
    </row>
    <row r="3" customFormat="false" ht="13.5" hidden="false" customHeight="true" outlineLevel="0" collapsed="false">
      <c r="A3" s="2" t="s">
        <v>1</v>
      </c>
      <c r="B3" s="2"/>
      <c r="C3" s="2"/>
      <c r="D3" s="2"/>
    </row>
    <row r="4" customFormat="false" ht="18" hidden="false" customHeight="true" outlineLevel="0" collapsed="false"/>
    <row r="5" customFormat="false" ht="18" hidden="false" customHeight="true" outlineLevel="0" collapsed="false">
      <c r="A5" s="3" t="s">
        <v>2</v>
      </c>
      <c r="B5" s="3"/>
      <c r="C5" s="3"/>
      <c r="D5" s="3"/>
    </row>
    <row r="6" customFormat="false" ht="18" hidden="false" customHeight="true" outlineLevel="0" collapsed="false">
      <c r="A6" s="4" t="s">
        <v>3</v>
      </c>
      <c r="B6" s="5"/>
      <c r="C6" s="6" t="s">
        <v>4</v>
      </c>
    </row>
    <row r="7" customFormat="false" ht="18" hidden="false" customHeight="true" outlineLevel="0" collapsed="false">
      <c r="A7" s="7" t="s">
        <v>5</v>
      </c>
      <c r="B7" s="5"/>
      <c r="C7" s="6" t="s">
        <v>6</v>
      </c>
    </row>
    <row r="8" customFormat="false" ht="18" hidden="false" customHeight="true" outlineLevel="0" collapsed="false">
      <c r="A8" s="8" t="s">
        <v>7</v>
      </c>
      <c r="B8" s="5"/>
      <c r="C8" s="6" t="s">
        <v>8</v>
      </c>
    </row>
    <row r="9" customFormat="false" ht="18" hidden="false" customHeight="true" outlineLevel="0" collapsed="false">
      <c r="A9" s="9" t="s">
        <v>9</v>
      </c>
      <c r="B9" s="5"/>
      <c r="C9" s="6" t="s">
        <v>10</v>
      </c>
    </row>
    <row r="10" customFormat="false" ht="18" hidden="false" customHeight="true" outlineLevel="0" collapsed="false"/>
    <row r="11" customFormat="false" ht="18" hidden="false" customHeight="true" outlineLevel="0" collapsed="false">
      <c r="A11" s="3" t="s">
        <v>11</v>
      </c>
      <c r="B11" s="3"/>
      <c r="C11" s="3"/>
      <c r="D11" s="3"/>
    </row>
    <row r="12" customFormat="false" ht="18" hidden="false" customHeight="true" outlineLevel="0" collapsed="false">
      <c r="A12" s="10" t="s">
        <v>12</v>
      </c>
      <c r="B12" s="10" t="s">
        <v>13</v>
      </c>
      <c r="C12" s="10" t="s">
        <v>14</v>
      </c>
      <c r="D12" s="10" t="s">
        <v>15</v>
      </c>
    </row>
    <row r="13" customFormat="false" ht="18" hidden="false" customHeight="true" outlineLevel="0" collapsed="false">
      <c r="A13" s="11" t="s">
        <v>16</v>
      </c>
      <c r="B13" s="12" t="n">
        <v>40</v>
      </c>
      <c r="C13" s="13" t="s">
        <v>17</v>
      </c>
      <c r="D13" s="14" t="s">
        <v>18</v>
      </c>
    </row>
    <row r="14" customFormat="false" ht="18" hidden="false" customHeight="true" outlineLevel="0" collapsed="false">
      <c r="A14" s="15" t="s">
        <v>19</v>
      </c>
      <c r="B14" s="12" t="n">
        <v>24</v>
      </c>
      <c r="C14" s="16" t="s">
        <v>20</v>
      </c>
      <c r="D14" s="17" t="s">
        <v>21</v>
      </c>
    </row>
    <row r="15" customFormat="false" ht="18" hidden="false" customHeight="true" outlineLevel="0" collapsed="false">
      <c r="A15" s="11" t="s">
        <v>22</v>
      </c>
      <c r="B15" s="12" t="n">
        <v>10</v>
      </c>
      <c r="C15" s="13" t="s">
        <v>20</v>
      </c>
      <c r="D15" s="14" t="s">
        <v>23</v>
      </c>
    </row>
    <row r="16" customFormat="false" ht="18" hidden="false" customHeight="true" outlineLevel="0" collapsed="false">
      <c r="A16" s="15" t="s">
        <v>24</v>
      </c>
      <c r="B16" s="12" t="n">
        <v>10</v>
      </c>
      <c r="C16" s="16" t="s">
        <v>20</v>
      </c>
      <c r="D16" s="17" t="s">
        <v>25</v>
      </c>
    </row>
    <row r="17" customFormat="false" ht="18" hidden="false" customHeight="true" outlineLevel="0" collapsed="false">
      <c r="A17" s="11" t="s">
        <v>26</v>
      </c>
      <c r="B17" s="12" t="n">
        <v>20</v>
      </c>
      <c r="C17" s="13" t="s">
        <v>27</v>
      </c>
      <c r="D17" s="14" t="s">
        <v>28</v>
      </c>
    </row>
    <row r="18" customFormat="false" ht="18" hidden="false" customHeight="true" outlineLevel="0" collapsed="false">
      <c r="A18" s="15" t="s">
        <v>29</v>
      </c>
      <c r="B18" s="12" t="n">
        <v>52</v>
      </c>
      <c r="C18" s="16" t="s">
        <v>30</v>
      </c>
      <c r="D18" s="17" t="s">
        <v>31</v>
      </c>
    </row>
    <row r="19" customFormat="false" ht="18" hidden="false" customHeight="true" outlineLevel="0" collapsed="false"/>
    <row r="20" customFormat="false" ht="18" hidden="false" customHeight="true" outlineLevel="0" collapsed="false">
      <c r="A20" s="3" t="s">
        <v>32</v>
      </c>
      <c r="B20" s="3"/>
      <c r="C20" s="3"/>
      <c r="D20" s="3"/>
    </row>
    <row r="21" customFormat="false" ht="18" hidden="false" customHeight="true" outlineLevel="0" collapsed="false">
      <c r="A21" s="10" t="s">
        <v>33</v>
      </c>
      <c r="B21" s="10" t="s">
        <v>13</v>
      </c>
      <c r="C21" s="10" t="s">
        <v>14</v>
      </c>
      <c r="D21" s="10" t="s">
        <v>34</v>
      </c>
    </row>
    <row r="22" customFormat="false" ht="18" hidden="false" customHeight="true" outlineLevel="0" collapsed="false">
      <c r="A22" s="15" t="s">
        <v>35</v>
      </c>
      <c r="B22" s="18" t="n">
        <f aca="false">B18*B13</f>
        <v>2080</v>
      </c>
      <c r="C22" s="16" t="s">
        <v>36</v>
      </c>
      <c r="D22" s="17" t="s">
        <v>37</v>
      </c>
    </row>
    <row r="23" customFormat="false" ht="18" hidden="false" customHeight="true" outlineLevel="0" collapsed="false">
      <c r="A23" s="11" t="s">
        <v>38</v>
      </c>
      <c r="B23" s="19" t="n">
        <f aca="false">B14+B15+B16</f>
        <v>44</v>
      </c>
      <c r="C23" s="13" t="s">
        <v>20</v>
      </c>
      <c r="D23" s="14" t="s">
        <v>39</v>
      </c>
    </row>
    <row r="24" customFormat="false" ht="18" hidden="false" customHeight="true" outlineLevel="0" collapsed="false">
      <c r="A24" s="15" t="s">
        <v>40</v>
      </c>
      <c r="B24" s="18" t="n">
        <f aca="false">(B18*B13)-(B14+B15+B16)*B13/5</f>
        <v>1728</v>
      </c>
      <c r="C24" s="16" t="s">
        <v>36</v>
      </c>
      <c r="D24" s="17" t="s">
        <v>41</v>
      </c>
    </row>
    <row r="25" customFormat="false" ht="18" hidden="false" customHeight="true" outlineLevel="0" collapsed="false">
      <c r="A25" s="11" t="s">
        <v>42</v>
      </c>
      <c r="B25" s="19" t="n">
        <f aca="false">((B18*B13)-(B14+B15+B16)*B13/5)*(1-B17/100)</f>
        <v>1382.4</v>
      </c>
      <c r="C25" s="13" t="s">
        <v>36</v>
      </c>
      <c r="D25" s="14" t="s">
        <v>43</v>
      </c>
    </row>
    <row r="26" customFormat="false" ht="18" hidden="false" customHeight="true" outlineLevel="0" collapsed="false">
      <c r="A26" s="15" t="s">
        <v>44</v>
      </c>
      <c r="B26" s="18" t="n">
        <f aca="false">((B18*B13)-(B14+B15+B16)*B13/5)*(1-B17/100)*60</f>
        <v>82944</v>
      </c>
      <c r="C26" s="16" t="s">
        <v>45</v>
      </c>
      <c r="D26" s="17" t="s">
        <v>46</v>
      </c>
    </row>
    <row r="27" customFormat="false" ht="18" hidden="false" customHeight="true" outlineLevel="0" collapsed="false">
      <c r="A27" s="11" t="s">
        <v>47</v>
      </c>
      <c r="B27" s="19" t="n">
        <f aca="false">((B18*B13)-(B14+B15+B16)*B13/5)*(1-B17/100)/12</f>
        <v>115.2</v>
      </c>
      <c r="C27" s="13" t="s">
        <v>48</v>
      </c>
      <c r="D27" s="14" t="s">
        <v>49</v>
      </c>
    </row>
    <row r="28" customFormat="false" ht="18" hidden="false" customHeight="true" outlineLevel="0" collapsed="false"/>
    <row r="29" customFormat="false" ht="18" hidden="false" customHeight="true" outlineLevel="0" collapsed="false"/>
    <row r="30" customFormat="false" ht="18" hidden="false" customHeight="true" outlineLevel="0" collapsed="false">
      <c r="A30" s="3" t="s">
        <v>50</v>
      </c>
      <c r="B30" s="3"/>
      <c r="C30" s="3"/>
      <c r="D30" s="3"/>
    </row>
    <row r="31" customFormat="false" ht="18" hidden="false" customHeight="true" outlineLevel="0" collapsed="false">
      <c r="A31" s="10" t="s">
        <v>12</v>
      </c>
      <c r="B31" s="10" t="s">
        <v>13</v>
      </c>
      <c r="C31" s="10" t="s">
        <v>14</v>
      </c>
      <c r="D31" s="10" t="s">
        <v>15</v>
      </c>
    </row>
    <row r="32" customFormat="false" ht="18" hidden="false" customHeight="true" outlineLevel="0" collapsed="false">
      <c r="A32" s="15" t="s">
        <v>51</v>
      </c>
      <c r="B32" s="20" t="n">
        <v>19</v>
      </c>
      <c r="C32" s="16" t="s">
        <v>27</v>
      </c>
      <c r="D32" s="17" t="s">
        <v>52</v>
      </c>
    </row>
    <row r="33" customFormat="false" ht="18" hidden="false" customHeight="true" outlineLevel="0" collapsed="false">
      <c r="A33" s="11" t="s">
        <v>53</v>
      </c>
      <c r="B33" s="20" t="n">
        <v>15</v>
      </c>
      <c r="C33" s="13" t="s">
        <v>27</v>
      </c>
      <c r="D33" s="14" t="s">
        <v>54</v>
      </c>
    </row>
    <row r="34" customFormat="false" ht="18" hidden="false" customHeight="true" outlineLevel="0" collapsed="false">
      <c r="A34" s="15" t="s">
        <v>55</v>
      </c>
      <c r="B34" s="20" t="n">
        <v>15</v>
      </c>
      <c r="C34" s="16" t="s">
        <v>27</v>
      </c>
      <c r="D34" s="17" t="s">
        <v>56</v>
      </c>
    </row>
    <row r="35" customFormat="false" ht="18" hidden="false" customHeight="true" outlineLevel="0" collapsed="false">
      <c r="A35" s="11" t="s">
        <v>57</v>
      </c>
      <c r="B35" s="20" t="n">
        <v>21</v>
      </c>
      <c r="C35" s="13" t="s">
        <v>27</v>
      </c>
      <c r="D35" s="14" t="s">
        <v>58</v>
      </c>
    </row>
  </sheetData>
  <mergeCells count="6">
    <mergeCell ref="A2:D2"/>
    <mergeCell ref="A3:D3"/>
    <mergeCell ref="A5:D5"/>
    <mergeCell ref="A11:D11"/>
    <mergeCell ref="A20:D20"/>
    <mergeCell ref="A30:D3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8"/>
    <col collapsed="false" customWidth="true" hidden="false" outlineLevel="0" max="6" min="3" style="0" width="14"/>
    <col collapsed="false" customWidth="true" hidden="false" outlineLevel="0" max="8" min="7" style="0" width="16"/>
    <col collapsed="false" customWidth="true" hidden="false" outlineLevel="0" max="11" min="9" style="0" width="14"/>
  </cols>
  <sheetData>
    <row r="1" customFormat="false" ht="31.5" hidden="false" customHeight="true" outlineLevel="0" collapsed="false">
      <c r="A1" s="1" t="s">
        <v>59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5.75" hidden="false" customHeight="true" outlineLevel="0" collapsed="false">
      <c r="A2" s="2" t="s">
        <v>60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4" customFormat="false" ht="15.75" hidden="false" customHeight="true" outlineLevel="0" collapsed="false">
      <c r="A4" s="21" t="s">
        <v>61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6" customFormat="false" ht="39.75" hidden="false" customHeight="true" outlineLevel="0" collapsed="false">
      <c r="A6" s="22" t="s">
        <v>62</v>
      </c>
      <c r="B6" s="22" t="s">
        <v>63</v>
      </c>
      <c r="C6" s="22" t="s">
        <v>64</v>
      </c>
      <c r="D6" s="22" t="s">
        <v>65</v>
      </c>
      <c r="E6" s="22" t="s">
        <v>66</v>
      </c>
      <c r="F6" s="22" t="s">
        <v>67</v>
      </c>
      <c r="G6" s="22" t="s">
        <v>68</v>
      </c>
      <c r="H6" s="22" t="s">
        <v>69</v>
      </c>
      <c r="I6" s="22" t="s">
        <v>70</v>
      </c>
      <c r="J6" s="22" t="s">
        <v>71</v>
      </c>
      <c r="K6" s="22" t="s">
        <v>72</v>
      </c>
    </row>
    <row r="7" customFormat="false" ht="18" hidden="false" customHeight="true" outlineLevel="0" collapsed="false">
      <c r="A7" s="23" t="s">
        <v>73</v>
      </c>
      <c r="B7" s="24" t="n">
        <v>40</v>
      </c>
      <c r="C7" s="12" t="n">
        <v>3500</v>
      </c>
      <c r="D7" s="25" t="n">
        <f aca="false">IF(C7=0,"",C7*1_Stammdaten!B35/100)</f>
        <v>735</v>
      </c>
      <c r="E7" s="25" t="n">
        <f aca="false">IF(C7=0,"",C7+D7)</f>
        <v>4235</v>
      </c>
      <c r="F7" s="24" t="n">
        <v>525</v>
      </c>
      <c r="G7" s="24" t="n">
        <v>100</v>
      </c>
      <c r="H7" s="26" t="n">
        <f aca="false">IF(C7=0,"",E7+F7+G7)</f>
        <v>4860</v>
      </c>
      <c r="I7" s="27" t="n">
        <f aca="false">1_Stammdaten!B27</f>
        <v>115.2</v>
      </c>
      <c r="J7" s="28" t="n">
        <f aca="false">IF(OR(C7=0,I7=0),"",H7/I7)</f>
        <v>42.1875</v>
      </c>
      <c r="K7" s="29" t="n">
        <f aca="false">IFERROR(H7/SUMIF(A7:A14,"&lt;&gt;",H7:H14),"")</f>
        <v>0.341280151680067</v>
      </c>
    </row>
    <row r="8" customFormat="false" ht="18" hidden="false" customHeight="true" outlineLevel="0" collapsed="false">
      <c r="A8" s="30" t="s">
        <v>74</v>
      </c>
      <c r="B8" s="24" t="n">
        <v>40</v>
      </c>
      <c r="C8" s="12" t="n">
        <v>2400</v>
      </c>
      <c r="D8" s="31" t="n">
        <f aca="false">IF(C8=0,"",C8*1_Stammdaten!B35/100)</f>
        <v>504</v>
      </c>
      <c r="E8" s="31" t="n">
        <f aca="false">IF(C8=0,"",C8+D8)</f>
        <v>2904</v>
      </c>
      <c r="F8" s="24" t="n">
        <v>360</v>
      </c>
      <c r="G8" s="24" t="n">
        <v>50</v>
      </c>
      <c r="H8" s="26" t="n">
        <f aca="false">IF(C8=0,"",E8+F8+G8)</f>
        <v>3314</v>
      </c>
      <c r="I8" s="32" t="n">
        <f aca="false">1_Stammdaten!B27</f>
        <v>115.2</v>
      </c>
      <c r="J8" s="33" t="n">
        <f aca="false">IF(OR(C8=0,I8=0),"",H8/I8)</f>
        <v>28.7673611111111</v>
      </c>
      <c r="K8" s="34" t="n">
        <f aca="false">IFERROR(H8/SUMIF(A7:A14,"&lt;&gt;",H7:H14),"")</f>
        <v>0.232716547874021</v>
      </c>
    </row>
    <row r="9" customFormat="false" ht="18" hidden="false" customHeight="true" outlineLevel="0" collapsed="false">
      <c r="A9" s="23" t="s">
        <v>74</v>
      </c>
      <c r="B9" s="24" t="n">
        <v>40</v>
      </c>
      <c r="C9" s="12" t="n">
        <v>2200</v>
      </c>
      <c r="D9" s="25" t="n">
        <f aca="false">IF(C9=0,"",C9*1_Stammdaten!B35/100)</f>
        <v>462</v>
      </c>
      <c r="E9" s="25" t="n">
        <f aca="false">IF(C9=0,"",C9+D9)</f>
        <v>2662</v>
      </c>
      <c r="F9" s="24" t="n">
        <v>330</v>
      </c>
      <c r="G9" s="24" t="n">
        <v>50</v>
      </c>
      <c r="H9" s="26" t="n">
        <f aca="false">IF(C9=0,"",E9+F9+G9)</f>
        <v>3042</v>
      </c>
      <c r="I9" s="27" t="n">
        <f aca="false">1_Stammdaten!B27</f>
        <v>115.2</v>
      </c>
      <c r="J9" s="28" t="n">
        <f aca="false">IF(OR(C9=0,I9=0),"",H9/I9)</f>
        <v>26.40625</v>
      </c>
      <c r="K9" s="29" t="n">
        <f aca="false">IFERROR(H9/SUMIF(A7:A14,"&lt;&gt;",H7:H14),"")</f>
        <v>0.213616094940487</v>
      </c>
    </row>
    <row r="10" customFormat="false" ht="18" hidden="false" customHeight="true" outlineLevel="0" collapsed="false">
      <c r="A10" s="30" t="s">
        <v>75</v>
      </c>
      <c r="B10" s="24" t="n">
        <v>25</v>
      </c>
      <c r="C10" s="12" t="n">
        <v>1500</v>
      </c>
      <c r="D10" s="31" t="n">
        <f aca="false">IF(C10=0,"",C10*1_Stammdaten!B35/100)</f>
        <v>315</v>
      </c>
      <c r="E10" s="31" t="n">
        <f aca="false">IF(C10=0,"",C10+D10)</f>
        <v>1815</v>
      </c>
      <c r="F10" s="24" t="n">
        <v>225</v>
      </c>
      <c r="G10" s="24" t="n">
        <v>50</v>
      </c>
      <c r="H10" s="26" t="n">
        <f aca="false">IF(C10=0,"",E10+F10+G10)</f>
        <v>2090</v>
      </c>
      <c r="I10" s="32" t="n">
        <f aca="false">1_Stammdaten!B27*B10/40</f>
        <v>72</v>
      </c>
      <c r="J10" s="33" t="n">
        <f aca="false">IF(OR(C10=0,I10=0),"",H10/I10)</f>
        <v>29.0277777777778</v>
      </c>
      <c r="K10" s="34" t="n">
        <f aca="false">IFERROR(H10/SUMIF(A7:A14,"&lt;&gt;",H7:H14),"")</f>
        <v>0.146764509673115</v>
      </c>
    </row>
    <row r="11" customFormat="false" ht="18" hidden="false" customHeight="true" outlineLevel="0" collapsed="false">
      <c r="A11" s="23" t="s">
        <v>76</v>
      </c>
      <c r="B11" s="24" t="n">
        <v>40</v>
      </c>
      <c r="C11" s="12" t="n">
        <v>650</v>
      </c>
      <c r="D11" s="25" t="n">
        <f aca="false">IF(C11=0,"",C11*1_Stammdaten!B35/100)</f>
        <v>136.5</v>
      </c>
      <c r="E11" s="25" t="n">
        <f aca="false">IF(C11=0,"",C11+D11)</f>
        <v>786.5</v>
      </c>
      <c r="F11" s="24" t="n">
        <v>98</v>
      </c>
      <c r="G11" s="24" t="n">
        <v>50</v>
      </c>
      <c r="H11" s="26" t="n">
        <f aca="false">IF(C11=0,"",E11+F11+G11)</f>
        <v>934.5</v>
      </c>
      <c r="I11" s="27" t="n">
        <f aca="false">1_Stammdaten!B27</f>
        <v>115.2</v>
      </c>
      <c r="J11" s="28" t="n">
        <f aca="false">IF(OR(C11=0,I11=0),"",H11/I11)</f>
        <v>8.11197916666667</v>
      </c>
      <c r="K11" s="29" t="n">
        <f aca="false">IFERROR(H11/SUMIF(A7:A14,"&lt;&gt;",H7:H14),"")</f>
        <v>0.0656226958323093</v>
      </c>
    </row>
    <row r="12" customFormat="false" ht="18" hidden="false" customHeight="true" outlineLevel="0" collapsed="false">
      <c r="A12" s="11"/>
      <c r="B12" s="35"/>
      <c r="C12" s="36"/>
      <c r="D12" s="31"/>
      <c r="E12" s="31"/>
      <c r="F12" s="35"/>
      <c r="G12" s="35"/>
      <c r="H12" s="37"/>
      <c r="I12" s="32"/>
      <c r="J12" s="33"/>
      <c r="K12" s="34"/>
    </row>
    <row r="13" customFormat="false" ht="18" hidden="false" customHeight="true" outlineLevel="0" collapsed="false">
      <c r="A13" s="15"/>
      <c r="B13" s="38"/>
      <c r="C13" s="39"/>
      <c r="D13" s="25"/>
      <c r="E13" s="25"/>
      <c r="F13" s="38"/>
      <c r="G13" s="38"/>
      <c r="H13" s="40"/>
      <c r="I13" s="27"/>
      <c r="J13" s="28"/>
      <c r="K13" s="29"/>
    </row>
    <row r="14" customFormat="false" ht="18" hidden="false" customHeight="true" outlineLevel="0" collapsed="false">
      <c r="A14" s="11"/>
      <c r="B14" s="35"/>
      <c r="C14" s="36"/>
      <c r="D14" s="31"/>
      <c r="E14" s="31"/>
      <c r="F14" s="35"/>
      <c r="G14" s="35"/>
      <c r="H14" s="37"/>
      <c r="I14" s="32"/>
      <c r="J14" s="33"/>
      <c r="K14" s="34"/>
    </row>
    <row r="15" customFormat="false" ht="21.75" hidden="false" customHeight="true" outlineLevel="0" collapsed="false">
      <c r="A15" s="41" t="s">
        <v>77</v>
      </c>
      <c r="B15" s="42"/>
      <c r="C15" s="43" t="n">
        <f aca="false">SUMIF(A7:A14,"&lt;&gt;",C7:C14)</f>
        <v>10250</v>
      </c>
      <c r="D15" s="43" t="n">
        <f aca="false">SUMIF(A7:A14,"&lt;&gt;",D7:D14)</f>
        <v>2152.5</v>
      </c>
      <c r="E15" s="43" t="n">
        <f aca="false">SUMIF(A7:A14,"&lt;&gt;",E7:E14)</f>
        <v>12402.5</v>
      </c>
      <c r="F15" s="43" t="n">
        <f aca="false">SUMIF(A7:A14,"&lt;&gt;",F7:F14)</f>
        <v>1538</v>
      </c>
      <c r="G15" s="43" t="n">
        <f aca="false">SUMIF(A7:A14,"&lt;&gt;",G7:G14)</f>
        <v>300</v>
      </c>
      <c r="H15" s="43" t="n">
        <f aca="false">SUMIF(A7:A14,"&lt;&gt;",H7:H14)</f>
        <v>14240.5</v>
      </c>
      <c r="I15" s="44" t="n">
        <f aca="false">SUMIF(A7:A14,"&lt;&gt;",I7:I14)</f>
        <v>532.8</v>
      </c>
      <c r="J15" s="45" t="n">
        <f aca="false">IFERROR(H15/I15,"")</f>
        <v>26.7276651651652</v>
      </c>
      <c r="K15" s="42"/>
    </row>
  </sheetData>
  <mergeCells count="3">
    <mergeCell ref="A1:K1"/>
    <mergeCell ref="A2:K2"/>
    <mergeCell ref="A4:K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3" min="2" style="0" width="18"/>
    <col collapsed="false" customWidth="true" hidden="false" outlineLevel="0" max="4" min="4" style="0" width="14"/>
    <col collapsed="false" customWidth="true" hidden="false" outlineLevel="0" max="5" min="5" style="0" width="40"/>
  </cols>
  <sheetData>
    <row r="1" customFormat="false" ht="31.5" hidden="false" customHeight="true" outlineLevel="0" collapsed="false">
      <c r="A1" s="1" t="s">
        <v>78</v>
      </c>
      <c r="B1" s="1"/>
      <c r="C1" s="1"/>
      <c r="D1" s="1"/>
      <c r="E1" s="1"/>
    </row>
    <row r="2" customFormat="false" ht="18" hidden="false" customHeight="true" outlineLevel="0" collapsed="false">
      <c r="A2" s="46" t="s">
        <v>79</v>
      </c>
      <c r="B2" s="46"/>
      <c r="C2" s="46"/>
      <c r="D2" s="46"/>
      <c r="E2" s="46"/>
    </row>
    <row r="4" customFormat="false" ht="21.75" hidden="false" customHeight="true" outlineLevel="0" collapsed="false">
      <c r="A4" s="22" t="s">
        <v>80</v>
      </c>
      <c r="B4" s="22" t="s">
        <v>81</v>
      </c>
      <c r="C4" s="22" t="s">
        <v>82</v>
      </c>
      <c r="D4" s="22" t="s">
        <v>83</v>
      </c>
      <c r="E4" s="22" t="s">
        <v>84</v>
      </c>
    </row>
    <row r="5" customFormat="false" ht="15.75" hidden="false" customHeight="true" outlineLevel="0" collapsed="false">
      <c r="A5" s="47" t="s">
        <v>85</v>
      </c>
      <c r="B5" s="47"/>
      <c r="C5" s="47"/>
      <c r="D5" s="47"/>
      <c r="E5" s="47"/>
    </row>
    <row r="6" customFormat="false" ht="18" hidden="false" customHeight="true" outlineLevel="0" collapsed="false">
      <c r="A6" s="11" t="s">
        <v>86</v>
      </c>
      <c r="B6" s="12" t="n">
        <v>18000</v>
      </c>
      <c r="C6" s="33" t="n">
        <f aca="false">B6/12</f>
        <v>1500</v>
      </c>
      <c r="D6" s="34" t="n">
        <f aca="false">IFERROR(B6/B28,"")</f>
        <v>0.527240773286468</v>
      </c>
      <c r="E6" s="14" t="s">
        <v>87</v>
      </c>
    </row>
    <row r="7" customFormat="false" ht="18" hidden="false" customHeight="true" outlineLevel="0" collapsed="false">
      <c r="A7" s="15" t="s">
        <v>88</v>
      </c>
      <c r="B7" s="12" t="n">
        <v>2400</v>
      </c>
      <c r="C7" s="28" t="n">
        <f aca="false">B7/12</f>
        <v>200</v>
      </c>
      <c r="D7" s="29" t="n">
        <f aca="false">IFERROR(B7/B28,"")</f>
        <v>0.070298769771529</v>
      </c>
      <c r="E7" s="17" t="s">
        <v>89</v>
      </c>
    </row>
    <row r="8" customFormat="false" ht="18" hidden="false" customHeight="true" outlineLevel="0" collapsed="false">
      <c r="A8" s="11" t="s">
        <v>90</v>
      </c>
      <c r="B8" s="12" t="n">
        <v>2400</v>
      </c>
      <c r="C8" s="33" t="n">
        <f aca="false">B8/12</f>
        <v>200</v>
      </c>
      <c r="D8" s="34" t="n">
        <f aca="false">IFERROR(B8/B28,"")</f>
        <v>0.070298769771529</v>
      </c>
      <c r="E8" s="14" t="s">
        <v>91</v>
      </c>
    </row>
    <row r="9" customFormat="false" ht="15.75" hidden="false" customHeight="true" outlineLevel="0" collapsed="false">
      <c r="A9" s="47" t="s">
        <v>92</v>
      </c>
      <c r="B9" s="47"/>
      <c r="C9" s="47"/>
      <c r="D9" s="47"/>
      <c r="E9" s="47"/>
    </row>
    <row r="10" customFormat="false" ht="18" hidden="false" customHeight="true" outlineLevel="0" collapsed="false">
      <c r="A10" s="11" t="s">
        <v>93</v>
      </c>
      <c r="B10" s="12" t="n">
        <v>600</v>
      </c>
      <c r="C10" s="33" t="n">
        <f aca="false">B10/12</f>
        <v>50</v>
      </c>
      <c r="D10" s="34" t="n">
        <f aca="false">IFERROR(B10/B28,"")</f>
        <v>0.0175746924428823</v>
      </c>
      <c r="E10" s="14" t="s">
        <v>94</v>
      </c>
    </row>
    <row r="11" customFormat="false" ht="18" hidden="false" customHeight="true" outlineLevel="0" collapsed="false">
      <c r="A11" s="15" t="s">
        <v>95</v>
      </c>
      <c r="B11" s="12" t="n">
        <v>360</v>
      </c>
      <c r="C11" s="28" t="n">
        <f aca="false">B11/12</f>
        <v>30</v>
      </c>
      <c r="D11" s="29" t="n">
        <f aca="false">IFERROR(B11/B28,"")</f>
        <v>0.0105448154657294</v>
      </c>
      <c r="E11" s="17" t="s">
        <v>94</v>
      </c>
    </row>
    <row r="12" customFormat="false" ht="18" hidden="false" customHeight="true" outlineLevel="0" collapsed="false">
      <c r="A12" s="11" t="s">
        <v>96</v>
      </c>
      <c r="B12" s="12" t="n">
        <v>800</v>
      </c>
      <c r="C12" s="33" t="n">
        <f aca="false">B12/12</f>
        <v>66.6666666666667</v>
      </c>
      <c r="D12" s="34" t="n">
        <f aca="false">IFERROR(B12/B28,"")</f>
        <v>0.0234329232571763</v>
      </c>
      <c r="E12" s="14" t="s">
        <v>97</v>
      </c>
    </row>
    <row r="13" customFormat="false" ht="18" hidden="false" customHeight="true" outlineLevel="0" collapsed="false">
      <c r="A13" s="15" t="s">
        <v>98</v>
      </c>
      <c r="B13" s="12" t="n">
        <v>300</v>
      </c>
      <c r="C13" s="28" t="n">
        <f aca="false">B13/12</f>
        <v>25</v>
      </c>
      <c r="D13" s="29" t="n">
        <f aca="false">IFERROR(B13/B28,"")</f>
        <v>0.00878734622144113</v>
      </c>
      <c r="E13" s="17" t="s">
        <v>99</v>
      </c>
    </row>
    <row r="14" customFormat="false" ht="18" hidden="false" customHeight="true" outlineLevel="0" collapsed="false">
      <c r="A14" s="11" t="s">
        <v>100</v>
      </c>
      <c r="B14" s="12" t="n">
        <v>220</v>
      </c>
      <c r="C14" s="33" t="n">
        <f aca="false">B14/12</f>
        <v>18.3333333333333</v>
      </c>
      <c r="D14" s="34" t="n">
        <f aca="false">IFERROR(B14/B28,"")</f>
        <v>0.00644405389572349</v>
      </c>
      <c r="E14" s="14" t="s">
        <v>101</v>
      </c>
    </row>
    <row r="15" customFormat="false" ht="15.75" hidden="false" customHeight="true" outlineLevel="0" collapsed="false">
      <c r="A15" s="47" t="s">
        <v>102</v>
      </c>
      <c r="B15" s="47"/>
      <c r="C15" s="47"/>
      <c r="D15" s="47"/>
      <c r="E15" s="47"/>
    </row>
    <row r="16" customFormat="false" ht="18" hidden="false" customHeight="true" outlineLevel="0" collapsed="false">
      <c r="A16" s="11" t="s">
        <v>103</v>
      </c>
      <c r="B16" s="12" t="n">
        <v>1200</v>
      </c>
      <c r="C16" s="33" t="n">
        <f aca="false">B16/12</f>
        <v>100</v>
      </c>
      <c r="D16" s="34" t="n">
        <f aca="false">IFERROR(B16/B28,"")</f>
        <v>0.0351493848857645</v>
      </c>
      <c r="E16" s="14" t="s">
        <v>104</v>
      </c>
    </row>
    <row r="17" customFormat="false" ht="18" hidden="false" customHeight="true" outlineLevel="0" collapsed="false">
      <c r="A17" s="15" t="s">
        <v>105</v>
      </c>
      <c r="B17" s="12" t="n">
        <v>600</v>
      </c>
      <c r="C17" s="28" t="n">
        <f aca="false">B17/12</f>
        <v>50</v>
      </c>
      <c r="D17" s="29" t="n">
        <f aca="false">IFERROR(B17/B28,"")</f>
        <v>0.0175746924428823</v>
      </c>
      <c r="E17" s="17" t="s">
        <v>106</v>
      </c>
    </row>
    <row r="18" customFormat="false" ht="18" hidden="false" customHeight="true" outlineLevel="0" collapsed="false">
      <c r="A18" s="11" t="s">
        <v>107</v>
      </c>
      <c r="B18" s="12" t="n">
        <v>480</v>
      </c>
      <c r="C18" s="33" t="n">
        <f aca="false">B18/12</f>
        <v>40</v>
      </c>
      <c r="D18" s="34" t="n">
        <f aca="false">IFERROR(B18/B28,"")</f>
        <v>0.0140597539543058</v>
      </c>
      <c r="E18" s="14" t="s">
        <v>108</v>
      </c>
    </row>
    <row r="19" customFormat="false" ht="15.75" hidden="false" customHeight="true" outlineLevel="0" collapsed="false">
      <c r="A19" s="47" t="s">
        <v>109</v>
      </c>
      <c r="B19" s="47"/>
      <c r="C19" s="47"/>
      <c r="D19" s="47"/>
      <c r="E19" s="47"/>
    </row>
    <row r="20" customFormat="false" ht="18" hidden="false" customHeight="true" outlineLevel="0" collapsed="false">
      <c r="A20" s="11" t="s">
        <v>110</v>
      </c>
      <c r="B20" s="12" t="n">
        <v>2400</v>
      </c>
      <c r="C20" s="33" t="n">
        <f aca="false">B20/12</f>
        <v>200</v>
      </c>
      <c r="D20" s="34" t="n">
        <f aca="false">IFERROR(B20/B28,"")</f>
        <v>0.070298769771529</v>
      </c>
      <c r="E20" s="14" t="s">
        <v>111</v>
      </c>
    </row>
    <row r="21" customFormat="false" ht="18" hidden="false" customHeight="true" outlineLevel="0" collapsed="false">
      <c r="A21" s="15" t="s">
        <v>112</v>
      </c>
      <c r="B21" s="12" t="n">
        <v>720</v>
      </c>
      <c r="C21" s="28" t="n">
        <f aca="false">B21/12</f>
        <v>60</v>
      </c>
      <c r="D21" s="29" t="n">
        <f aca="false">IFERROR(B21/B28,"")</f>
        <v>0.0210896309314587</v>
      </c>
      <c r="E21" s="17" t="s">
        <v>113</v>
      </c>
    </row>
    <row r="22" customFormat="false" ht="18" hidden="false" customHeight="true" outlineLevel="0" collapsed="false">
      <c r="A22" s="11" t="s">
        <v>114</v>
      </c>
      <c r="B22" s="12" t="n">
        <v>360</v>
      </c>
      <c r="C22" s="33" t="n">
        <f aca="false">B22/12</f>
        <v>30</v>
      </c>
      <c r="D22" s="34" t="n">
        <f aca="false">IFERROR(B22/B28,"")</f>
        <v>0.0105448154657294</v>
      </c>
      <c r="E22" s="14" t="s">
        <v>115</v>
      </c>
    </row>
    <row r="23" customFormat="false" ht="15.75" hidden="false" customHeight="true" outlineLevel="0" collapsed="false">
      <c r="A23" s="47" t="s">
        <v>116</v>
      </c>
      <c r="B23" s="47"/>
      <c r="C23" s="47"/>
      <c r="D23" s="47"/>
      <c r="E23" s="47"/>
    </row>
    <row r="24" customFormat="false" ht="18" hidden="false" customHeight="true" outlineLevel="0" collapsed="false">
      <c r="A24" s="11" t="s">
        <v>117</v>
      </c>
      <c r="B24" s="12" t="n">
        <v>2000</v>
      </c>
      <c r="C24" s="33" t="n">
        <f aca="false">B24/12</f>
        <v>166.666666666667</v>
      </c>
      <c r="D24" s="34" t="n">
        <f aca="false">IFERROR(B24/B28,"")</f>
        <v>0.0585823081429408</v>
      </c>
      <c r="E24" s="14" t="s">
        <v>118</v>
      </c>
    </row>
    <row r="25" customFormat="false" ht="18" hidden="false" customHeight="true" outlineLevel="0" collapsed="false">
      <c r="A25" s="15" t="s">
        <v>119</v>
      </c>
      <c r="B25" s="12" t="n">
        <v>800</v>
      </c>
      <c r="C25" s="28" t="n">
        <f aca="false">B25/12</f>
        <v>66.6666666666667</v>
      </c>
      <c r="D25" s="29" t="n">
        <f aca="false">IFERROR(B25/B28,"")</f>
        <v>0.0234329232571763</v>
      </c>
      <c r="E25" s="17" t="s">
        <v>120</v>
      </c>
    </row>
    <row r="26" customFormat="false" ht="15.75" hidden="false" customHeight="true" outlineLevel="0" collapsed="false">
      <c r="A26" s="47" t="s">
        <v>121</v>
      </c>
      <c r="B26" s="47"/>
      <c r="C26" s="47"/>
      <c r="D26" s="47"/>
      <c r="E26" s="47"/>
    </row>
    <row r="27" customFormat="false" ht="18" hidden="false" customHeight="true" outlineLevel="0" collapsed="false">
      <c r="A27" s="15" t="s">
        <v>122</v>
      </c>
      <c r="B27" s="12" t="n">
        <v>500</v>
      </c>
      <c r="C27" s="28" t="n">
        <f aca="false">B27/12</f>
        <v>41.6666666666667</v>
      </c>
      <c r="D27" s="29" t="n">
        <f aca="false">IFERROR(B27/B28,"")</f>
        <v>0.0146455770357352</v>
      </c>
      <c r="E27" s="17" t="s">
        <v>123</v>
      </c>
    </row>
    <row r="28" customFormat="false" ht="21.75" hidden="false" customHeight="true" outlineLevel="0" collapsed="false">
      <c r="A28" s="41" t="s">
        <v>124</v>
      </c>
      <c r="B28" s="48" t="n">
        <f aca="false">SUM(B5:B27)</f>
        <v>34140</v>
      </c>
      <c r="C28" s="49" t="n">
        <f aca="false">B28/12</f>
        <v>2845</v>
      </c>
      <c r="D28" s="42"/>
      <c r="E28" s="42"/>
    </row>
  </sheetData>
  <mergeCells count="8">
    <mergeCell ref="A1:E1"/>
    <mergeCell ref="A2:E2"/>
    <mergeCell ref="A5:E5"/>
    <mergeCell ref="A9:E9"/>
    <mergeCell ref="A15:E15"/>
    <mergeCell ref="A19:E19"/>
    <mergeCell ref="A23:E23"/>
    <mergeCell ref="A26:E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8"/>
    <col collapsed="false" customWidth="true" hidden="false" outlineLevel="0" max="2" min="2" style="0" width="20"/>
    <col collapsed="false" customWidth="true" hidden="false" outlineLevel="0" max="3" min="3" style="0" width="18"/>
    <col collapsed="false" customWidth="true" hidden="false" outlineLevel="0" max="4" min="4" style="0" width="40"/>
  </cols>
  <sheetData>
    <row r="1" customFormat="false" ht="31.5" hidden="false" customHeight="true" outlineLevel="0" collapsed="false">
      <c r="A1" s="1" t="s">
        <v>125</v>
      </c>
      <c r="B1" s="1"/>
      <c r="C1" s="1"/>
      <c r="D1" s="1"/>
    </row>
    <row r="2" customFormat="false" ht="24" hidden="false" customHeight="true" outlineLevel="0" collapsed="false">
      <c r="A2" s="46" t="s">
        <v>126</v>
      </c>
      <c r="B2" s="46"/>
      <c r="C2" s="46"/>
      <c r="D2" s="46"/>
    </row>
    <row r="4" customFormat="false" ht="15" hidden="false" customHeight="false" outlineLevel="0" collapsed="false">
      <c r="A4" s="3" t="s">
        <v>127</v>
      </c>
      <c r="B4" s="3"/>
      <c r="C4" s="3"/>
      <c r="D4" s="3"/>
    </row>
    <row r="5" customFormat="false" ht="15" hidden="false" customHeight="false" outlineLevel="0" collapsed="false">
      <c r="A5" s="10" t="s">
        <v>33</v>
      </c>
      <c r="B5" s="10" t="s">
        <v>13</v>
      </c>
      <c r="C5" s="10" t="s">
        <v>14</v>
      </c>
      <c r="D5" s="10" t="s">
        <v>128</v>
      </c>
    </row>
    <row r="6" customFormat="false" ht="15" hidden="false" customHeight="false" outlineLevel="0" collapsed="false">
      <c r="A6" s="15" t="s">
        <v>129</v>
      </c>
      <c r="B6" s="50" t="n">
        <f aca="false">2_Personalkosten!H15</f>
        <v>14240.5</v>
      </c>
      <c r="C6" s="16" t="s">
        <v>130</v>
      </c>
      <c r="D6" s="51" t="s">
        <v>131</v>
      </c>
    </row>
    <row r="7" customFormat="false" ht="15" hidden="false" customHeight="false" outlineLevel="0" collapsed="false">
      <c r="A7" s="11" t="s">
        <v>132</v>
      </c>
      <c r="B7" s="52" t="n">
        <f aca="false">3_Gemeinkosten!C28</f>
        <v>2845</v>
      </c>
      <c r="C7" s="13" t="s">
        <v>130</v>
      </c>
      <c r="D7" s="53" t="s">
        <v>133</v>
      </c>
    </row>
    <row r="8" customFormat="false" ht="15" hidden="false" customHeight="false" outlineLevel="0" collapsed="false">
      <c r="A8" s="15" t="s">
        <v>134</v>
      </c>
      <c r="B8" s="12" t="n">
        <v>5</v>
      </c>
      <c r="C8" s="16" t="s">
        <v>135</v>
      </c>
      <c r="D8" s="54" t="s">
        <v>136</v>
      </c>
    </row>
    <row r="9" customFormat="false" ht="15" hidden="false" customHeight="false" outlineLevel="0" collapsed="false">
      <c r="A9" s="11" t="s">
        <v>137</v>
      </c>
      <c r="B9" s="52" t="n">
        <f aca="false">1_Stammdaten!B26</f>
        <v>82944</v>
      </c>
      <c r="C9" s="13" t="s">
        <v>138</v>
      </c>
      <c r="D9" s="53" t="s">
        <v>139</v>
      </c>
    </row>
    <row r="10" customFormat="false" ht="15" hidden="false" customHeight="false" outlineLevel="0" collapsed="false">
      <c r="A10" s="15" t="s">
        <v>53</v>
      </c>
      <c r="B10" s="55" t="n">
        <f aca="false">1_Stammdaten!B33</f>
        <v>15</v>
      </c>
      <c r="C10" s="16" t="s">
        <v>27</v>
      </c>
      <c r="D10" s="51" t="s">
        <v>139</v>
      </c>
    </row>
    <row r="12" customFormat="false" ht="15" hidden="false" customHeight="false" outlineLevel="0" collapsed="false">
      <c r="A12" s="3" t="s">
        <v>140</v>
      </c>
      <c r="B12" s="3"/>
      <c r="C12" s="3"/>
      <c r="D12" s="3"/>
    </row>
    <row r="13" customFormat="false" ht="15" hidden="false" customHeight="false" outlineLevel="0" collapsed="false">
      <c r="A13" s="10" t="s">
        <v>141</v>
      </c>
      <c r="B13" s="10" t="s">
        <v>13</v>
      </c>
      <c r="C13" s="10" t="s">
        <v>14</v>
      </c>
      <c r="D13" s="10" t="s">
        <v>34</v>
      </c>
    </row>
    <row r="14" customFormat="false" ht="18" hidden="false" customHeight="true" outlineLevel="0" collapsed="false">
      <c r="A14" s="15" t="s">
        <v>142</v>
      </c>
      <c r="B14" s="56" t="n">
        <f aca="false">B6+B7</f>
        <v>17085.5</v>
      </c>
      <c r="C14" s="16" t="s">
        <v>130</v>
      </c>
      <c r="D14" s="17" t="s">
        <v>143</v>
      </c>
    </row>
    <row r="15" customFormat="false" ht="18" hidden="false" customHeight="true" outlineLevel="0" collapsed="false">
      <c r="A15" s="11" t="s">
        <v>144</v>
      </c>
      <c r="B15" s="57" t="n">
        <f aca="false">(B6+B7)*B10/100</f>
        <v>2562.825</v>
      </c>
      <c r="C15" s="13" t="s">
        <v>130</v>
      </c>
      <c r="D15" s="14" t="s">
        <v>145</v>
      </c>
    </row>
    <row r="16" customFormat="false" ht="18" hidden="false" customHeight="true" outlineLevel="0" collapsed="false">
      <c r="A16" s="15" t="s">
        <v>146</v>
      </c>
      <c r="B16" s="56" t="n">
        <f aca="false">(B6+B7)*(1+B10/100)</f>
        <v>19648.325</v>
      </c>
      <c r="C16" s="16" t="s">
        <v>130</v>
      </c>
      <c r="D16" s="17" t="s">
        <v>147</v>
      </c>
    </row>
    <row r="17" customFormat="false" ht="18" hidden="false" customHeight="true" outlineLevel="0" collapsed="false">
      <c r="A17" s="11" t="s">
        <v>148</v>
      </c>
      <c r="B17" s="57" t="n">
        <f aca="false">B8*B9/12</f>
        <v>34560</v>
      </c>
      <c r="C17" s="13" t="s">
        <v>149</v>
      </c>
      <c r="D17" s="14" t="s">
        <v>150</v>
      </c>
    </row>
    <row r="18" customFormat="false" ht="19.5" hidden="false" customHeight="true" outlineLevel="0" collapsed="false">
      <c r="A18" s="58" t="s">
        <v>151</v>
      </c>
      <c r="B18" s="59" t="n">
        <f aca="false">IFERROR((B6+B7)*(1+B10/100)/(B8*B9/12),0)</f>
        <v>0.568527922453704</v>
      </c>
      <c r="C18" s="60" t="s">
        <v>152</v>
      </c>
      <c r="D18" s="61" t="s">
        <v>153</v>
      </c>
    </row>
    <row r="20" customFormat="false" ht="18" hidden="false" customHeight="true" outlineLevel="0" collapsed="false">
      <c r="A20" s="62" t="s">
        <v>154</v>
      </c>
      <c r="B20" s="62"/>
      <c r="C20" s="62"/>
      <c r="D20" s="62"/>
    </row>
    <row r="21" customFormat="false" ht="15" hidden="false" customHeight="false" outlineLevel="0" collapsed="false">
      <c r="A21" s="11" t="s">
        <v>155</v>
      </c>
      <c r="B21" s="63" t="n">
        <f aca="false">1_Stammdaten!B32</f>
        <v>19</v>
      </c>
      <c r="C21" s="13" t="s">
        <v>27</v>
      </c>
    </row>
    <row r="22" customFormat="false" ht="21.75" hidden="false" customHeight="true" outlineLevel="0" collapsed="false">
      <c r="A22" s="64" t="s">
        <v>156</v>
      </c>
      <c r="B22" s="65" t="n">
        <f aca="false">B18*(1+B21/100)</f>
        <v>0.676548227719907</v>
      </c>
      <c r="C22" s="66" t="s">
        <v>152</v>
      </c>
    </row>
  </sheetData>
  <mergeCells count="5">
    <mergeCell ref="A1:D1"/>
    <mergeCell ref="A2:D2"/>
    <mergeCell ref="A4:D4"/>
    <mergeCell ref="A12:D12"/>
    <mergeCell ref="A20:D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10"/>
    <col collapsed="false" customWidth="true" hidden="false" outlineLevel="0" max="3" min="3" style="0" width="14"/>
    <col collapsed="false" customWidth="true" hidden="false" outlineLevel="0" max="4" min="4" style="0" width="16"/>
    <col collapsed="false" customWidth="true" hidden="false" outlineLevel="0" max="7" min="5" style="0" width="14"/>
    <col collapsed="false" customWidth="true" hidden="false" outlineLevel="0" max="9" min="8" style="0" width="16"/>
    <col collapsed="false" customWidth="true" hidden="false" outlineLevel="0" max="10" min="10" style="0" width="38"/>
  </cols>
  <sheetData>
    <row r="1" customFormat="false" ht="31.5" hidden="false" customHeight="true" outlineLevel="0" collapsed="false">
      <c r="A1" s="1" t="s">
        <v>157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15.75" hidden="false" customHeight="true" outlineLevel="0" collapsed="false">
      <c r="A2" s="2" t="s">
        <v>158</v>
      </c>
      <c r="B2" s="2"/>
      <c r="C2" s="2"/>
      <c r="D2" s="2"/>
      <c r="E2" s="2"/>
      <c r="F2" s="2"/>
      <c r="G2" s="2"/>
      <c r="H2" s="2"/>
      <c r="I2" s="2"/>
      <c r="J2" s="2"/>
    </row>
    <row r="4" customFormat="false" ht="18" hidden="false" customHeight="true" outlineLevel="0" collapsed="false">
      <c r="A4" s="11" t="s">
        <v>159</v>
      </c>
      <c r="B4" s="67" t="n">
        <f aca="false">4_Minutensatz!B18</f>
        <v>0.568527922453704</v>
      </c>
      <c r="C4" s="68" t="str">
        <f aca="false">" €/Min  |  Schwund-/Handlingsaufschlag: "&amp;1_Stammdaten!B34&amp;"%  |  MwSt.: "&amp;1_Stammdaten!B32&amp;"%"</f>
        <v> €/Min  |  Schwund-/Handlingsaufschlag: 15%  |  MwSt.: 19%</v>
      </c>
      <c r="D4" s="68"/>
      <c r="E4" s="68"/>
      <c r="F4" s="68"/>
      <c r="G4" s="68"/>
      <c r="H4" s="68"/>
      <c r="I4" s="68"/>
      <c r="J4" s="68"/>
    </row>
    <row r="5" customFormat="false" ht="42" hidden="false" customHeight="true" outlineLevel="0" collapsed="false">
      <c r="A5" s="22" t="s">
        <v>160</v>
      </c>
      <c r="B5" s="22" t="s">
        <v>161</v>
      </c>
      <c r="C5" s="22" t="s">
        <v>162</v>
      </c>
      <c r="D5" s="22" t="s">
        <v>163</v>
      </c>
      <c r="E5" s="22" t="s">
        <v>164</v>
      </c>
      <c r="F5" s="22" t="s">
        <v>165</v>
      </c>
      <c r="G5" s="22" t="s">
        <v>166</v>
      </c>
      <c r="H5" s="22" t="s">
        <v>167</v>
      </c>
      <c r="I5" s="22" t="s">
        <v>168</v>
      </c>
      <c r="J5" s="22" t="s">
        <v>169</v>
      </c>
    </row>
    <row r="6" customFormat="false" ht="15.75" hidden="false" customHeight="true" outlineLevel="0" collapsed="false">
      <c r="A6" s="47" t="s">
        <v>170</v>
      </c>
      <c r="B6" s="47"/>
      <c r="C6" s="47"/>
      <c r="D6" s="47"/>
      <c r="E6" s="47"/>
      <c r="F6" s="47"/>
      <c r="G6" s="47"/>
      <c r="H6" s="47"/>
      <c r="I6" s="47"/>
      <c r="J6" s="47"/>
    </row>
    <row r="7" customFormat="false" ht="18" hidden="false" customHeight="true" outlineLevel="0" collapsed="false">
      <c r="A7" s="69" t="s">
        <v>171</v>
      </c>
      <c r="B7" s="12" t="n">
        <v>25</v>
      </c>
      <c r="C7" s="33" t="n">
        <f aca="false">B7*4_Minutensatz!B18</f>
        <v>14.2131980613426</v>
      </c>
      <c r="D7" s="35"/>
      <c r="E7" s="70"/>
      <c r="F7" s="33" t="n">
        <f aca="false">IFERROR(IF(D7=0,0,D7*E7/100*(1+1_Stammdaten!B34/100)),0)</f>
        <v>0</v>
      </c>
      <c r="G7" s="71" t="n">
        <f aca="false">C7+F7</f>
        <v>14.2131980613426</v>
      </c>
      <c r="H7" s="57" t="n">
        <f aca="false">G7*1_Stammdaten!B32/100</f>
        <v>2.70050763165509</v>
      </c>
      <c r="I7" s="72" t="n">
        <f aca="false">G7+H7</f>
        <v>16.9137056929977</v>
      </c>
      <c r="J7" s="14" t="s">
        <v>172</v>
      </c>
    </row>
    <row r="8" customFormat="false" ht="18" hidden="false" customHeight="true" outlineLevel="0" collapsed="false">
      <c r="A8" s="73" t="s">
        <v>173</v>
      </c>
      <c r="B8" s="12" t="n">
        <v>35</v>
      </c>
      <c r="C8" s="28" t="n">
        <f aca="false">B8*4_Minutensatz!B18</f>
        <v>19.8984772858796</v>
      </c>
      <c r="D8" s="38"/>
      <c r="E8" s="74"/>
      <c r="F8" s="28" t="n">
        <f aca="false">IFERROR(IF(D8=0,0,D8*E8/100*(1+1_Stammdaten!B34/100)),0)</f>
        <v>0</v>
      </c>
      <c r="G8" s="71" t="n">
        <f aca="false">C8+F8</f>
        <v>19.8984772858796</v>
      </c>
      <c r="H8" s="56" t="n">
        <f aca="false">G8*1_Stammdaten!B32/100</f>
        <v>3.78071068431713</v>
      </c>
      <c r="I8" s="72" t="n">
        <f aca="false">G8+H8</f>
        <v>23.6791879701968</v>
      </c>
      <c r="J8" s="17" t="s">
        <v>174</v>
      </c>
    </row>
    <row r="9" customFormat="false" ht="18" hidden="false" customHeight="true" outlineLevel="0" collapsed="false">
      <c r="A9" s="69" t="s">
        <v>175</v>
      </c>
      <c r="B9" s="12" t="n">
        <v>20</v>
      </c>
      <c r="C9" s="33" t="n">
        <f aca="false">B9*4_Minutensatz!B18</f>
        <v>11.3705584490741</v>
      </c>
      <c r="D9" s="35"/>
      <c r="E9" s="70"/>
      <c r="F9" s="33" t="n">
        <f aca="false">IFERROR(IF(D9=0,0,D9*E9/100*(1+1_Stammdaten!B34/100)),0)</f>
        <v>0</v>
      </c>
      <c r="G9" s="71" t="n">
        <f aca="false">C9+F9</f>
        <v>11.3705584490741</v>
      </c>
      <c r="H9" s="57" t="n">
        <f aca="false">G9*1_Stammdaten!B32/100</f>
        <v>2.16040610532407</v>
      </c>
      <c r="I9" s="72" t="n">
        <f aca="false">G9+H9</f>
        <v>13.5309645543981</v>
      </c>
      <c r="J9" s="14"/>
    </row>
    <row r="10" customFormat="false" ht="18" hidden="false" customHeight="true" outlineLevel="0" collapsed="false">
      <c r="A10" s="73" t="s">
        <v>176</v>
      </c>
      <c r="B10" s="12" t="n">
        <v>20</v>
      </c>
      <c r="C10" s="28" t="n">
        <f aca="false">B10*4_Minutensatz!B18</f>
        <v>11.3705584490741</v>
      </c>
      <c r="D10" s="38"/>
      <c r="E10" s="74"/>
      <c r="F10" s="28" t="n">
        <f aca="false">IFERROR(IF(D10=0,0,D10*E10/100*(1+1_Stammdaten!B34/100)),0)</f>
        <v>0</v>
      </c>
      <c r="G10" s="71" t="n">
        <f aca="false">C10+F10</f>
        <v>11.3705584490741</v>
      </c>
      <c r="H10" s="56" t="n">
        <f aca="false">G10*1_Stammdaten!B32/100</f>
        <v>2.16040610532407</v>
      </c>
      <c r="I10" s="72" t="n">
        <f aca="false">G10+H10</f>
        <v>13.5309645543981</v>
      </c>
      <c r="J10" s="17"/>
    </row>
    <row r="11" customFormat="false" ht="15.75" hidden="false" customHeight="true" outlineLevel="0" collapsed="false">
      <c r="A11" s="47" t="s">
        <v>177</v>
      </c>
      <c r="B11" s="47"/>
      <c r="C11" s="47"/>
      <c r="D11" s="47"/>
      <c r="E11" s="47"/>
      <c r="F11" s="47"/>
      <c r="G11" s="47"/>
      <c r="H11" s="47"/>
      <c r="I11" s="47"/>
      <c r="J11" s="47"/>
    </row>
    <row r="12" customFormat="false" ht="18" hidden="false" customHeight="true" outlineLevel="0" collapsed="false">
      <c r="A12" s="73" t="s">
        <v>178</v>
      </c>
      <c r="B12" s="12" t="n">
        <v>45</v>
      </c>
      <c r="C12" s="28" t="n">
        <f aca="false">B12*4_Minutensatz!B18</f>
        <v>25.5837565104167</v>
      </c>
      <c r="D12" s="38"/>
      <c r="E12" s="74"/>
      <c r="F12" s="28" t="n">
        <f aca="false">IFERROR(IF(D12=0,0,D12*E12/100*(1+1_Stammdaten!B34/100)),0)</f>
        <v>0</v>
      </c>
      <c r="G12" s="71" t="n">
        <f aca="false">C12+F12</f>
        <v>25.5837565104167</v>
      </c>
      <c r="H12" s="56" t="n">
        <f aca="false">G12*1_Stammdaten!B32/100</f>
        <v>4.86091373697917</v>
      </c>
      <c r="I12" s="72" t="n">
        <f aca="false">G12+H12</f>
        <v>30.4446702473958</v>
      </c>
      <c r="J12" s="17" t="s">
        <v>172</v>
      </c>
    </row>
    <row r="13" customFormat="false" ht="18" hidden="false" customHeight="true" outlineLevel="0" collapsed="false">
      <c r="A13" s="69" t="s">
        <v>179</v>
      </c>
      <c r="B13" s="12" t="n">
        <v>60</v>
      </c>
      <c r="C13" s="33" t="n">
        <f aca="false">B13*4_Minutensatz!B18</f>
        <v>34.1116753472222</v>
      </c>
      <c r="D13" s="35"/>
      <c r="E13" s="70"/>
      <c r="F13" s="33" t="n">
        <f aca="false">IFERROR(IF(D13=0,0,D13*E13/100*(1+1_Stammdaten!B34/100)),0)</f>
        <v>0</v>
      </c>
      <c r="G13" s="71" t="n">
        <f aca="false">C13+F13</f>
        <v>34.1116753472222</v>
      </c>
      <c r="H13" s="57" t="n">
        <f aca="false">G13*1_Stammdaten!B32/100</f>
        <v>6.48121831597222</v>
      </c>
      <c r="I13" s="72" t="n">
        <f aca="false">G13+H13</f>
        <v>40.5928936631944</v>
      </c>
      <c r="J13" s="14" t="s">
        <v>174</v>
      </c>
    </row>
    <row r="14" customFormat="false" ht="18" hidden="false" customHeight="true" outlineLevel="0" collapsed="false">
      <c r="A14" s="73" t="s">
        <v>180</v>
      </c>
      <c r="B14" s="12" t="n">
        <v>15</v>
      </c>
      <c r="C14" s="28" t="n">
        <f aca="false">B14*4_Minutensatz!B18</f>
        <v>8.52791883680555</v>
      </c>
      <c r="D14" s="38"/>
      <c r="E14" s="74"/>
      <c r="F14" s="28" t="n">
        <f aca="false">IFERROR(IF(D14=0,0,D14*E14/100*(1+1_Stammdaten!B34/100)),0)</f>
        <v>0</v>
      </c>
      <c r="G14" s="71" t="n">
        <f aca="false">C14+F14</f>
        <v>8.52791883680555</v>
      </c>
      <c r="H14" s="56" t="n">
        <f aca="false">G14*1_Stammdaten!B32/100</f>
        <v>1.62030457899306</v>
      </c>
      <c r="I14" s="72" t="n">
        <f aca="false">G14+H14</f>
        <v>10.1482234157986</v>
      </c>
      <c r="J14" s="17"/>
    </row>
    <row r="15" customFormat="false" ht="15.75" hidden="false" customHeight="true" outlineLevel="0" collapsed="false">
      <c r="A15" s="47" t="s">
        <v>181</v>
      </c>
      <c r="B15" s="47"/>
      <c r="C15" s="47"/>
      <c r="D15" s="47"/>
      <c r="E15" s="47"/>
      <c r="F15" s="47"/>
      <c r="G15" s="47"/>
      <c r="H15" s="47"/>
      <c r="I15" s="47"/>
      <c r="J15" s="47"/>
    </row>
    <row r="16" customFormat="false" ht="18" hidden="false" customHeight="true" outlineLevel="0" collapsed="false">
      <c r="A16" s="73" t="s">
        <v>182</v>
      </c>
      <c r="B16" s="12" t="n">
        <v>60</v>
      </c>
      <c r="C16" s="28" t="n">
        <f aca="false">B16*4_Minutensatz!B18</f>
        <v>34.1116753472222</v>
      </c>
      <c r="D16" s="24" t="n">
        <v>80</v>
      </c>
      <c r="E16" s="75" t="n">
        <v>8.5</v>
      </c>
      <c r="F16" s="28" t="n">
        <f aca="false">IFERROR(IF(D16=0,0,D16*E16/100*(1+1_Stammdaten!B34/100)),0)</f>
        <v>7.82</v>
      </c>
      <c r="G16" s="71" t="n">
        <f aca="false">C16+F16</f>
        <v>41.9316753472222</v>
      </c>
      <c r="H16" s="56" t="n">
        <f aca="false">G16*1_Stammdaten!B32/100</f>
        <v>7.96701831597222</v>
      </c>
      <c r="I16" s="72" t="n">
        <f aca="false">G16+H16</f>
        <v>49.8986936631944</v>
      </c>
      <c r="J16" s="17" t="s">
        <v>183</v>
      </c>
    </row>
    <row r="17" customFormat="false" ht="18" hidden="false" customHeight="true" outlineLevel="0" collapsed="false">
      <c r="A17" s="69" t="s">
        <v>184</v>
      </c>
      <c r="B17" s="12" t="n">
        <v>90</v>
      </c>
      <c r="C17" s="33" t="n">
        <f aca="false">B17*4_Minutensatz!B18</f>
        <v>51.1675130208333</v>
      </c>
      <c r="D17" s="24" t="n">
        <v>120</v>
      </c>
      <c r="E17" s="75" t="n">
        <v>9</v>
      </c>
      <c r="F17" s="33" t="n">
        <f aca="false">IFERROR(IF(D17=0,0,D17*E17/100*(1+1_Stammdaten!B34/100)),0)</f>
        <v>12.42</v>
      </c>
      <c r="G17" s="71" t="n">
        <f aca="false">C17+F17</f>
        <v>63.5875130208333</v>
      </c>
      <c r="H17" s="57" t="n">
        <f aca="false">G17*1_Stammdaten!B32/100</f>
        <v>12.0816274739583</v>
      </c>
      <c r="I17" s="72" t="n">
        <f aca="false">G17+H17</f>
        <v>75.6691404947917</v>
      </c>
      <c r="J17" s="14" t="s">
        <v>185</v>
      </c>
    </row>
    <row r="18" customFormat="false" ht="18" hidden="false" customHeight="true" outlineLevel="0" collapsed="false">
      <c r="A18" s="73" t="s">
        <v>186</v>
      </c>
      <c r="B18" s="12" t="n">
        <v>150</v>
      </c>
      <c r="C18" s="28" t="n">
        <f aca="false">B18*4_Minutensatz!B18</f>
        <v>85.2791883680555</v>
      </c>
      <c r="D18" s="24" t="n">
        <v>200</v>
      </c>
      <c r="E18" s="75" t="n">
        <v>9</v>
      </c>
      <c r="F18" s="28" t="n">
        <f aca="false">IFERROR(IF(D18=0,0,D18*E18/100*(1+1_Stammdaten!B34/100)),0)</f>
        <v>20.7</v>
      </c>
      <c r="G18" s="71" t="n">
        <f aca="false">C18+F18</f>
        <v>105.979188368056</v>
      </c>
      <c r="H18" s="56" t="n">
        <f aca="false">G18*1_Stammdaten!B32/100</f>
        <v>20.1360457899306</v>
      </c>
      <c r="I18" s="72" t="n">
        <f aca="false">G18+H18</f>
        <v>126.115234157986</v>
      </c>
      <c r="J18" s="17" t="s">
        <v>187</v>
      </c>
    </row>
    <row r="19" customFormat="false" ht="18" hidden="false" customHeight="true" outlineLevel="0" collapsed="false">
      <c r="A19" s="69" t="s">
        <v>188</v>
      </c>
      <c r="B19" s="12" t="n">
        <v>120</v>
      </c>
      <c r="C19" s="33" t="n">
        <f aca="false">B19*4_Minutensatz!B18</f>
        <v>68.2233506944444</v>
      </c>
      <c r="D19" s="24" t="n">
        <v>150</v>
      </c>
      <c r="E19" s="75" t="n">
        <v>8</v>
      </c>
      <c r="F19" s="33" t="n">
        <f aca="false">IFERROR(IF(D19=0,0,D19*E19/100*(1+1_Stammdaten!B34/100)),0)</f>
        <v>13.8</v>
      </c>
      <c r="G19" s="71" t="n">
        <f aca="false">C19+F19</f>
        <v>82.0233506944444</v>
      </c>
      <c r="H19" s="57" t="n">
        <f aca="false">G19*1_Stammdaten!B32/100</f>
        <v>15.5844366319444</v>
      </c>
      <c r="I19" s="72" t="n">
        <f aca="false">G19+H19</f>
        <v>97.6077873263889</v>
      </c>
      <c r="J19" s="14"/>
    </row>
    <row r="20" customFormat="false" ht="18" hidden="false" customHeight="true" outlineLevel="0" collapsed="false">
      <c r="A20" s="73" t="s">
        <v>189</v>
      </c>
      <c r="B20" s="12" t="n">
        <v>45</v>
      </c>
      <c r="C20" s="28" t="n">
        <f aca="false">B20*4_Minutensatz!B18</f>
        <v>25.5837565104167</v>
      </c>
      <c r="D20" s="24" t="n">
        <v>60</v>
      </c>
      <c r="E20" s="75" t="n">
        <v>7.5</v>
      </c>
      <c r="F20" s="28" t="n">
        <f aca="false">IFERROR(IF(D20=0,0,D20*E20/100*(1+1_Stammdaten!B34/100)),0)</f>
        <v>5.175</v>
      </c>
      <c r="G20" s="71" t="n">
        <f aca="false">C20+F20</f>
        <v>30.7587565104167</v>
      </c>
      <c r="H20" s="56" t="n">
        <f aca="false">G20*1_Stammdaten!B32/100</f>
        <v>5.84416373697917</v>
      </c>
      <c r="I20" s="72" t="n">
        <f aca="false">G20+H20</f>
        <v>36.6029202473958</v>
      </c>
      <c r="J20" s="17"/>
    </row>
    <row r="21" customFormat="false" ht="15.75" hidden="false" customHeight="true" outlineLevel="0" collapsed="false">
      <c r="A21" s="47" t="s">
        <v>190</v>
      </c>
      <c r="B21" s="47"/>
      <c r="C21" s="47"/>
      <c r="D21" s="47"/>
      <c r="E21" s="47"/>
      <c r="F21" s="47"/>
      <c r="G21" s="47"/>
      <c r="H21" s="47"/>
      <c r="I21" s="47"/>
      <c r="J21" s="47"/>
    </row>
    <row r="22" customFormat="false" ht="18" hidden="false" customHeight="true" outlineLevel="0" collapsed="false">
      <c r="A22" s="73" t="s">
        <v>191</v>
      </c>
      <c r="B22" s="12" t="n">
        <v>30</v>
      </c>
      <c r="C22" s="28" t="n">
        <f aca="false">B22*4_Minutensatz!B18</f>
        <v>17.0558376736111</v>
      </c>
      <c r="D22" s="24" t="n">
        <v>20</v>
      </c>
      <c r="E22" s="75" t="n">
        <v>6</v>
      </c>
      <c r="F22" s="28" t="n">
        <f aca="false">IFERROR(IF(D22=0,0,D22*E22/100*(1+1_Stammdaten!B34/100)),0)</f>
        <v>1.38</v>
      </c>
      <c r="G22" s="71" t="n">
        <f aca="false">C22+F22</f>
        <v>18.4358376736111</v>
      </c>
      <c r="H22" s="56" t="n">
        <f aca="false">G22*1_Stammdaten!B32/100</f>
        <v>3.50280915798611</v>
      </c>
      <c r="I22" s="72" t="n">
        <f aca="false">G22+H22</f>
        <v>21.9386468315972</v>
      </c>
      <c r="J22" s="17"/>
    </row>
    <row r="23" customFormat="false" ht="18" hidden="false" customHeight="true" outlineLevel="0" collapsed="false">
      <c r="A23" s="69" t="s">
        <v>192</v>
      </c>
      <c r="B23" s="12" t="n">
        <v>20</v>
      </c>
      <c r="C23" s="33" t="n">
        <f aca="false">B23*4_Minutensatz!B18</f>
        <v>11.3705584490741</v>
      </c>
      <c r="D23" s="24" t="n">
        <v>10</v>
      </c>
      <c r="E23" s="75" t="n">
        <v>5</v>
      </c>
      <c r="F23" s="33" t="n">
        <f aca="false">IFERROR(IF(D23=0,0,D23*E23/100*(1+1_Stammdaten!B34/100)),0)</f>
        <v>0.575</v>
      </c>
      <c r="G23" s="71" t="n">
        <f aca="false">C23+F23</f>
        <v>11.9455584490741</v>
      </c>
      <c r="H23" s="57" t="n">
        <f aca="false">G23*1_Stammdaten!B32/100</f>
        <v>2.26965610532407</v>
      </c>
      <c r="I23" s="72" t="n">
        <f aca="false">G23+H23</f>
        <v>14.2152145543981</v>
      </c>
      <c r="J23" s="14"/>
    </row>
    <row r="24" customFormat="false" ht="18" hidden="false" customHeight="true" outlineLevel="0" collapsed="false">
      <c r="A24" s="73" t="s">
        <v>193</v>
      </c>
      <c r="B24" s="12" t="n">
        <v>120</v>
      </c>
      <c r="C24" s="28" t="n">
        <f aca="false">B24*4_Minutensatz!B18</f>
        <v>68.2233506944444</v>
      </c>
      <c r="D24" s="24" t="n">
        <v>30</v>
      </c>
      <c r="E24" s="75" t="n">
        <v>25</v>
      </c>
      <c r="F24" s="28" t="n">
        <f aca="false">IFERROR(IF(D24=0,0,D24*E24/100*(1+1_Stammdaten!B34/100)),0)</f>
        <v>8.625</v>
      </c>
      <c r="G24" s="71" t="n">
        <f aca="false">C24+F24</f>
        <v>76.8483506944444</v>
      </c>
      <c r="H24" s="56" t="n">
        <f aca="false">G24*1_Stammdaten!B32/100</f>
        <v>14.6011866319444</v>
      </c>
      <c r="I24" s="72" t="n">
        <f aca="false">G24+H24</f>
        <v>91.4495373263889</v>
      </c>
      <c r="J24" s="17"/>
    </row>
    <row r="25" customFormat="false" ht="15.75" hidden="false" customHeight="true" outlineLevel="0" collapsed="false">
      <c r="A25" s="47" t="s">
        <v>194</v>
      </c>
      <c r="B25" s="47"/>
      <c r="C25" s="47"/>
      <c r="D25" s="47"/>
      <c r="E25" s="47"/>
      <c r="F25" s="47"/>
      <c r="G25" s="47"/>
      <c r="H25" s="47"/>
      <c r="I25" s="47"/>
      <c r="J25" s="47"/>
    </row>
    <row r="26" customFormat="false" ht="18" hidden="false" customHeight="true" outlineLevel="0" collapsed="false">
      <c r="A26" s="73" t="s">
        <v>195</v>
      </c>
      <c r="B26" s="12" t="n">
        <v>30</v>
      </c>
      <c r="C26" s="28" t="n">
        <f aca="false">B26*4_Minutensatz!B18</f>
        <v>17.0558376736111</v>
      </c>
      <c r="D26" s="24" t="n">
        <v>5</v>
      </c>
      <c r="E26" s="75" t="n">
        <v>4</v>
      </c>
      <c r="F26" s="28" t="n">
        <f aca="false">IFERROR(IF(D26=0,0,D26*E26/100*(1+1_Stammdaten!B34/100)),0)</f>
        <v>0.23</v>
      </c>
      <c r="G26" s="71" t="n">
        <f aca="false">C26+F26</f>
        <v>17.2858376736111</v>
      </c>
      <c r="H26" s="56" t="n">
        <f aca="false">G26*1_Stammdaten!B32/100</f>
        <v>3.28430915798611</v>
      </c>
      <c r="I26" s="72" t="n">
        <f aca="false">G26+H26</f>
        <v>20.5701468315972</v>
      </c>
      <c r="J26" s="17" t="s">
        <v>196</v>
      </c>
    </row>
    <row r="27" customFormat="false" ht="18" hidden="false" customHeight="true" outlineLevel="0" collapsed="false">
      <c r="A27" s="69" t="s">
        <v>197</v>
      </c>
      <c r="B27" s="12" t="n">
        <v>50</v>
      </c>
      <c r="C27" s="33" t="n">
        <f aca="false">B27*4_Minutensatz!B18</f>
        <v>28.4263961226852</v>
      </c>
      <c r="D27" s="24" t="n">
        <v>8</v>
      </c>
      <c r="E27" s="75" t="n">
        <v>4</v>
      </c>
      <c r="F27" s="33" t="n">
        <f aca="false">IFERROR(IF(D27=0,0,D27*E27/100*(1+1_Stammdaten!B34/100)),0)</f>
        <v>0.368</v>
      </c>
      <c r="G27" s="71" t="n">
        <f aca="false">C27+F27</f>
        <v>28.7943961226852</v>
      </c>
      <c r="H27" s="57" t="n">
        <f aca="false">G27*1_Stammdaten!B32/100</f>
        <v>5.47093526331018</v>
      </c>
      <c r="I27" s="72" t="n">
        <f aca="false">G27+H27</f>
        <v>34.2653313859954</v>
      </c>
      <c r="J27" s="14"/>
    </row>
    <row r="28" customFormat="false" ht="18" hidden="false" customHeight="true" outlineLevel="0" collapsed="false">
      <c r="A28" s="73" t="s">
        <v>198</v>
      </c>
      <c r="B28" s="12" t="n">
        <v>90</v>
      </c>
      <c r="C28" s="28" t="n">
        <f aca="false">B28*4_Minutensatz!B18</f>
        <v>51.1675130208333</v>
      </c>
      <c r="D28" s="24" t="n">
        <v>10</v>
      </c>
      <c r="E28" s="75" t="n">
        <v>4</v>
      </c>
      <c r="F28" s="28" t="n">
        <f aca="false">IFERROR(IF(D28=0,0,D28*E28/100*(1+1_Stammdaten!B34/100)),0)</f>
        <v>0.46</v>
      </c>
      <c r="G28" s="71" t="n">
        <f aca="false">C28+F28</f>
        <v>51.6275130208333</v>
      </c>
      <c r="H28" s="56" t="n">
        <f aca="false">G28*1_Stammdaten!B32/100</f>
        <v>9.80922747395833</v>
      </c>
      <c r="I28" s="72" t="n">
        <f aca="false">G28+H28</f>
        <v>61.4367404947917</v>
      </c>
      <c r="J28" s="17"/>
    </row>
    <row r="29" customFormat="false" ht="18" hidden="false" customHeight="true" outlineLevel="0" collapsed="false">
      <c r="A29" s="69" t="s">
        <v>199</v>
      </c>
      <c r="B29" s="12" t="n">
        <v>120</v>
      </c>
      <c r="C29" s="33" t="n">
        <f aca="false">B29*4_Minutensatz!B18</f>
        <v>68.2233506944444</v>
      </c>
      <c r="D29" s="24" t="n">
        <v>100</v>
      </c>
      <c r="E29" s="75" t="n">
        <v>7</v>
      </c>
      <c r="F29" s="33" t="n">
        <f aca="false">IFERROR(IF(D29=0,0,D29*E29/100*(1+1_Stammdaten!B34/100)),0)</f>
        <v>8.05</v>
      </c>
      <c r="G29" s="71" t="n">
        <f aca="false">C29+F29</f>
        <v>76.2733506944444</v>
      </c>
      <c r="H29" s="57" t="n">
        <f aca="false">G29*1_Stammdaten!B32/100</f>
        <v>14.4919366319444</v>
      </c>
      <c r="I29" s="72" t="n">
        <f aca="false">G29+H29</f>
        <v>90.7652873263889</v>
      </c>
      <c r="J29" s="14"/>
    </row>
  </sheetData>
  <mergeCells count="8">
    <mergeCell ref="A1:J1"/>
    <mergeCell ref="A2:J2"/>
    <mergeCell ref="C4:J4"/>
    <mergeCell ref="A6:J6"/>
    <mergeCell ref="A11:J11"/>
    <mergeCell ref="A15:J15"/>
    <mergeCell ref="A21:J21"/>
    <mergeCell ref="A25:J2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6"/>
    <col collapsed="false" customWidth="true" hidden="false" outlineLevel="0" max="2" min="2" style="0" width="20"/>
    <col collapsed="false" customWidth="true" hidden="false" outlineLevel="0" max="3" min="3" style="0" width="18"/>
    <col collapsed="false" customWidth="true" hidden="false" outlineLevel="0" max="4" min="4" style="0" width="40"/>
  </cols>
  <sheetData>
    <row r="1" customFormat="false" ht="31.5" hidden="false" customHeight="true" outlineLevel="0" collapsed="false">
      <c r="A1" s="1" t="s">
        <v>200</v>
      </c>
      <c r="B1" s="1"/>
      <c r="C1" s="1"/>
      <c r="D1" s="1"/>
    </row>
    <row r="2" customFormat="false" ht="18" hidden="false" customHeight="true" outlineLevel="0" collapsed="false">
      <c r="A2" s="46" t="s">
        <v>201</v>
      </c>
      <c r="B2" s="46"/>
      <c r="C2" s="46"/>
      <c r="D2" s="46"/>
    </row>
    <row r="4" customFormat="false" ht="15" hidden="false" customHeight="false" outlineLevel="0" collapsed="false">
      <c r="A4" s="3" t="s">
        <v>202</v>
      </c>
      <c r="B4" s="3"/>
      <c r="C4" s="3"/>
      <c r="D4" s="3"/>
    </row>
    <row r="5" customFormat="false" ht="15" hidden="false" customHeight="false" outlineLevel="0" collapsed="false">
      <c r="A5" s="10" t="s">
        <v>203</v>
      </c>
      <c r="B5" s="10" t="s">
        <v>204</v>
      </c>
      <c r="C5" s="10" t="s">
        <v>83</v>
      </c>
      <c r="D5" s="10" t="s">
        <v>128</v>
      </c>
    </row>
    <row r="6" customFormat="false" ht="18" hidden="false" customHeight="true" outlineLevel="0" collapsed="false">
      <c r="A6" s="15" t="s">
        <v>205</v>
      </c>
      <c r="B6" s="76" t="n">
        <f aca="false">2_Personalkosten!H15</f>
        <v>14240.5</v>
      </c>
      <c r="C6" s="29" t="n">
        <f aca="false">IFERROR(B6/B8,"")</f>
        <v>0.833484533668901</v>
      </c>
      <c r="D6" s="51" t="s">
        <v>131</v>
      </c>
    </row>
    <row r="7" customFormat="false" ht="18" hidden="false" customHeight="true" outlineLevel="0" collapsed="false">
      <c r="A7" s="11" t="s">
        <v>206</v>
      </c>
      <c r="B7" s="77" t="n">
        <f aca="false">3_Gemeinkosten!C28</f>
        <v>2845</v>
      </c>
      <c r="C7" s="34" t="n">
        <f aca="false">IFERROR(B7/B8,"")</f>
        <v>0.166515466331099</v>
      </c>
      <c r="D7" s="53" t="s">
        <v>133</v>
      </c>
    </row>
    <row r="8" customFormat="false" ht="19.5" hidden="false" customHeight="true" outlineLevel="0" collapsed="false">
      <c r="A8" s="78" t="s">
        <v>207</v>
      </c>
      <c r="B8" s="79" t="n">
        <f aca="false">B6+B7</f>
        <v>17085.5</v>
      </c>
      <c r="C8" s="80"/>
      <c r="D8" s="80"/>
    </row>
    <row r="9" customFormat="false" ht="18" hidden="false" customHeight="true" outlineLevel="0" collapsed="false">
      <c r="A9" s="11" t="s">
        <v>208</v>
      </c>
      <c r="B9" s="31" t="n">
        <f aca="false">B8*1_Stammdaten!B33/100</f>
        <v>2562.825</v>
      </c>
      <c r="C9" s="81"/>
      <c r="D9" s="82" t="s">
        <v>139</v>
      </c>
    </row>
    <row r="10" customFormat="false" ht="19.5" hidden="false" customHeight="true" outlineLevel="0" collapsed="false">
      <c r="A10" s="83" t="s">
        <v>209</v>
      </c>
      <c r="B10" s="84" t="n">
        <f aca="false">B8+B9</f>
        <v>19648.325</v>
      </c>
      <c r="C10" s="85"/>
      <c r="D10" s="85"/>
    </row>
    <row r="12" customFormat="false" ht="15" hidden="false" customHeight="false" outlineLevel="0" collapsed="false">
      <c r="A12" s="3" t="s">
        <v>210</v>
      </c>
      <c r="B12" s="3"/>
      <c r="C12" s="3"/>
      <c r="D12" s="3"/>
    </row>
    <row r="13" customFormat="false" ht="15" hidden="false" customHeight="false" outlineLevel="0" collapsed="false">
      <c r="A13" s="10" t="s">
        <v>33</v>
      </c>
      <c r="B13" s="10" t="s">
        <v>13</v>
      </c>
      <c r="C13" s="10" t="s">
        <v>14</v>
      </c>
      <c r="D13" s="10" t="s">
        <v>211</v>
      </c>
    </row>
    <row r="14" customFormat="false" ht="19.5" hidden="false" customHeight="true" outlineLevel="0" collapsed="false">
      <c r="A14" s="83" t="s">
        <v>212</v>
      </c>
      <c r="B14" s="86" t="n">
        <f aca="false">4_Minutensatz!B18</f>
        <v>0.568527922453704</v>
      </c>
      <c r="C14" s="87" t="s">
        <v>213</v>
      </c>
      <c r="D14" s="88" t="s">
        <v>214</v>
      </c>
    </row>
    <row r="15" customFormat="false" ht="18" hidden="false" customHeight="true" outlineLevel="0" collapsed="false">
      <c r="A15" s="11" t="s">
        <v>154</v>
      </c>
      <c r="B15" s="89" t="n">
        <f aca="false">4_Minutensatz!B18*(1+1_Stammdaten!B32/100)</f>
        <v>0.676548227719907</v>
      </c>
      <c r="C15" s="13" t="s">
        <v>213</v>
      </c>
      <c r="D15" s="90" t="s">
        <v>215</v>
      </c>
    </row>
    <row r="16" customFormat="false" ht="18" hidden="false" customHeight="true" outlineLevel="0" collapsed="false">
      <c r="A16" s="15" t="s">
        <v>216</v>
      </c>
      <c r="B16" s="91" t="n">
        <f aca="false">5*1_Stammdaten!B27*60</f>
        <v>34560</v>
      </c>
      <c r="C16" s="16" t="s">
        <v>149</v>
      </c>
      <c r="D16" s="92" t="s">
        <v>217</v>
      </c>
    </row>
    <row r="17" customFormat="false" ht="19.5" hidden="false" customHeight="true" outlineLevel="0" collapsed="false">
      <c r="A17" s="93" t="s">
        <v>218</v>
      </c>
      <c r="B17" s="94" t="n">
        <f aca="false">4_Minutensatz!B18*(1+1_Stammdaten!B32/100)*5*1_Stammdaten!B27*60</f>
        <v>23381.50675</v>
      </c>
      <c r="C17" s="95" t="s">
        <v>130</v>
      </c>
      <c r="D17" s="96" t="s">
        <v>219</v>
      </c>
    </row>
    <row r="19" customFormat="false" ht="15" hidden="false" customHeight="false" outlineLevel="0" collapsed="false">
      <c r="A19" s="3" t="s">
        <v>220</v>
      </c>
      <c r="B19" s="3"/>
      <c r="C19" s="3"/>
      <c r="D19" s="3"/>
    </row>
    <row r="20" customFormat="false" ht="15" hidden="false" customHeight="false" outlineLevel="0" collapsed="false">
      <c r="A20" s="10" t="s">
        <v>221</v>
      </c>
      <c r="B20" s="10" t="s">
        <v>222</v>
      </c>
      <c r="C20" s="10" t="s">
        <v>83</v>
      </c>
      <c r="D20" s="10" t="s">
        <v>223</v>
      </c>
    </row>
    <row r="21" customFormat="false" ht="18" hidden="false" customHeight="true" outlineLevel="0" collapsed="false">
      <c r="A21" s="11" t="s">
        <v>224</v>
      </c>
      <c r="B21" s="77" t="n">
        <f aca="false">B6</f>
        <v>14240.5</v>
      </c>
      <c r="C21" s="34" t="n">
        <f aca="false">IFERROR(B6/B10,"")</f>
        <v>0.724769159712087</v>
      </c>
      <c r="D21" s="97" t="s">
        <v>225</v>
      </c>
    </row>
    <row r="22" customFormat="false" ht="18" hidden="false" customHeight="true" outlineLevel="0" collapsed="false">
      <c r="A22" s="15" t="s">
        <v>226</v>
      </c>
      <c r="B22" s="76" t="n">
        <f aca="false">B7</f>
        <v>2845</v>
      </c>
      <c r="C22" s="29" t="n">
        <f aca="false">IFERROR(B7/B10,"")</f>
        <v>0.144796057679217</v>
      </c>
      <c r="D22" s="98" t="s">
        <v>227</v>
      </c>
    </row>
    <row r="23" customFormat="false" ht="18" hidden="false" customHeight="true" outlineLevel="0" collapsed="false">
      <c r="A23" s="11" t="s">
        <v>228</v>
      </c>
      <c r="B23" s="77" t="n">
        <f aca="false">IFERROR(B10*0.1,"")</f>
        <v>1964.8325</v>
      </c>
      <c r="C23" s="34" t="s">
        <v>229</v>
      </c>
      <c r="D23" s="97" t="s">
        <v>230</v>
      </c>
    </row>
    <row r="24" customFormat="false" ht="18" hidden="false" customHeight="true" outlineLevel="0" collapsed="false">
      <c r="A24" s="15" t="s">
        <v>231</v>
      </c>
      <c r="B24" s="76" t="n">
        <f aca="false">B9</f>
        <v>2562.825</v>
      </c>
      <c r="C24" s="29" t="n">
        <f aca="false">IFERROR(B9/B10,"")</f>
        <v>0.130434782608696</v>
      </c>
      <c r="D24" s="98" t="s">
        <v>232</v>
      </c>
    </row>
  </sheetData>
  <mergeCells count="5">
    <mergeCell ref="A1:D1"/>
    <mergeCell ref="A2:D2"/>
    <mergeCell ref="A4:D4"/>
    <mergeCell ref="A12:D12"/>
    <mergeCell ref="A19:D1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2026-04-16T08:40:34Z</dcterms:created>
  <dc:creator>openpyxl</dc:creator>
  <dc:description/>
  <dc:language>en-US</dc:language>
  <cp:lastModifiedBy/>
  <dcterms:modified xsi:type="dcterms:W3CDTF">2026-04-16T08:40:34Z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