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KW-Kostenkalkulation" sheetId="1" state="visible" r:id="rId2"/>
    <sheet name="Szenarien-Vergleich" sheetId="2" state="visible" r:id="rId3"/>
    <sheet name="Tourenkalkulation" sheetId="3" state="visible" r:id="rId4"/>
    <sheet name="Flottenkalkulation" sheetId="4" state="visible" r:id="rId5"/>
  </sheets>
  <definedNames>
    <definedName function="false" hidden="false" localSheetId="0" name="_xlnm.Print_Titles" vbProcedure="false">'LKW-Kostenkalkulation'!$1:$4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<sst xmlns="http://schemas.openxmlformats.org/spreadsheetml/2006/main" count="200" uniqueCount="187">
  <si>
    <t xml:space="preserve">LKW-Kostenkalkulation &amp; Frachtratenkalkulator</t>
  </si>
  <si>
    <t xml:space="preserve">Professionelle Fahrzeugkostenrechnung nach Fix- und variablen Kosten</t>
  </si>
  <si>
    <t xml:space="preserve">1  |  FAHRZEUG &amp; GRUNDANNAHMEN</t>
  </si>
  <si>
    <t xml:space="preserve">Fahrzeugdaten</t>
  </si>
  <si>
    <t xml:space="preserve">Fahrzeugbezeichnung / Kennzeichen</t>
  </si>
  <si>
    <t xml:space="preserve">MAN TGX 18.440</t>
  </si>
  <si>
    <t xml:space="preserve">Freitext</t>
  </si>
  <si>
    <t xml:space="preserve">Anschaffungswert (€)</t>
  </si>
  <si>
    <t xml:space="preserve">Kaufpreis inkl. Nebenkosten</t>
  </si>
  <si>
    <t xml:space="preserve">Restwert bei Verkauf (€)</t>
  </si>
  <si>
    <t xml:space="preserve">Geschätzter Verkaufserlös</t>
  </si>
  <si>
    <t xml:space="preserve">Nutzungsdauer (Jahre)</t>
  </si>
  <si>
    <t xml:space="preserve">Abschreibungszeitraum</t>
  </si>
  <si>
    <t xml:space="preserve">Jahreskilometerleistung (km)</t>
  </si>
  <si>
    <t xml:space="preserve">Realistisch – inkl. Leerkilometer</t>
  </si>
  <si>
    <t xml:space="preserve">Leerkilometer-Anteil (%)</t>
  </si>
  <si>
    <t xml:space="preserve">Anteil unbeladener Fahrten</t>
  </si>
  <si>
    <t xml:space="preserve">2  |  FIXKOSTEN  (zeitabhängig – fallen auch bei Stillstand an)</t>
  </si>
  <si>
    <t xml:space="preserve">Kostenart</t>
  </si>
  <si>
    <t xml:space="preserve">€ / Monat</t>
  </si>
  <si>
    <t xml:space="preserve">€ / Jahr</t>
  </si>
  <si>
    <t xml:space="preserve">Anmerkung</t>
  </si>
  <si>
    <t xml:space="preserve">Hilfsannahmen Fixkosten</t>
  </si>
  <si>
    <t xml:space="preserve">Jährliche Kfz-Steuer (€)</t>
  </si>
  <si>
    <t xml:space="preserve">Zinssatz p.a. (%)</t>
  </si>
  <si>
    <t xml:space="preserve">Abschreibung</t>
  </si>
  <si>
    <t xml:space="preserve">Formel: (Kaufpreis – Restwert) / Nutzungsdauer</t>
  </si>
  <si>
    <t xml:space="preserve">Leasingrate (alternativ zu AfA)</t>
  </si>
  <si>
    <t xml:space="preserve">0 wenn Eigentum; sonst Leasingrate eintragen</t>
  </si>
  <si>
    <t xml:space="preserve">Fahrerlohn (Brutto)</t>
  </si>
  <si>
    <t xml:space="preserve">Monatsbruttogehalt</t>
  </si>
  <si>
    <t xml:space="preserve">Lohnnebenkosten (ca. 21% auf Brutto)</t>
  </si>
  <si>
    <t xml:space="preserve">Sozialabgaben Arbeitgeberanteil</t>
  </si>
  <si>
    <t xml:space="preserve">Spesen &amp; Auslösen</t>
  </si>
  <si>
    <t xml:space="preserve">Pauschale pro Monat</t>
  </si>
  <si>
    <t xml:space="preserve">Kfz-Steuer</t>
  </si>
  <si>
    <t xml:space="preserve">Ggf. Jahresbetrag / 12</t>
  </si>
  <si>
    <t xml:space="preserve">Haftpflichtversicherung</t>
  </si>
  <si>
    <t xml:space="preserve">Monatliche Rate</t>
  </si>
  <si>
    <t xml:space="preserve">Kaskoversicherung</t>
  </si>
  <si>
    <t xml:space="preserve">Verwaltungsgemeinkosten</t>
  </si>
  <si>
    <t xml:space="preserve">Anteil Disposition, Buchhaltung, Miete</t>
  </si>
  <si>
    <t xml:space="preserve">Zinskosten (Kapitalbindung)</t>
  </si>
  <si>
    <t xml:space="preserve">Formel: ((Kaufpreis + Restwert) / 2) × Zinssatz / 12</t>
  </si>
  <si>
    <t xml:space="preserve">SUMME FIXKOSTEN (€/Jahr)</t>
  </si>
  <si>
    <t xml:space="preserve">3  |  VARIABLE KOSTEN  (leistungsabhängig – entstehen nur bei Fahrt)</t>
  </si>
  <si>
    <t xml:space="preserve">Hilfsannahmen Variable Kosten</t>
  </si>
  <si>
    <t xml:space="preserve">Dieselpreis (€ / Liter)</t>
  </si>
  <si>
    <t xml:space="preserve">Aktuellen Marktpreis eintragen</t>
  </si>
  <si>
    <t xml:space="preserve">AdBlue-Preis (€ / Liter)</t>
  </si>
  <si>
    <t xml:space="preserve">ca. 5-7% des Dieselverbrauchs</t>
  </si>
  <si>
    <t xml:space="preserve">Kraftstoffverbrauch (Liter/100 km)</t>
  </si>
  <si>
    <t xml:space="preserve">Realistischer Durchschnitt beladen</t>
  </si>
  <si>
    <t xml:space="preserve">AdBlue-Verbrauch (Liter/100 km)</t>
  </si>
  <si>
    <t xml:space="preserve">ca. 5-6% des Kraftstoffverbrauchs</t>
  </si>
  <si>
    <t xml:space="preserve">Maut Inland (€ / km)</t>
  </si>
  <si>
    <t xml:space="preserve">BALM-Satz inkl. CO₂-Zuschlag 2024</t>
  </si>
  <si>
    <t xml:space="preserve">Maut Ausland (€ / km)</t>
  </si>
  <si>
    <t xml:space="preserve">Durchschnitt bei gemischten Touren</t>
  </si>
  <si>
    <t xml:space="preserve">Auslandsanteil an Gesamtkilometer (%)</t>
  </si>
  <si>
    <t xml:space="preserve">Anteil internationale Fahrten</t>
  </si>
  <si>
    <t xml:space="preserve">Reifenkosten (€ / km)</t>
  </si>
  <si>
    <t xml:space="preserve">Verschleiß inkl. Achse, Montage</t>
  </si>
  <si>
    <t xml:space="preserve">Schmierstoffe &amp; Reinigung (€ / km)</t>
  </si>
  <si>
    <t xml:space="preserve">Öl, Fette, Waschanlagen</t>
  </si>
  <si>
    <t xml:space="preserve">Reparatur- &amp; Wartungsrücklage (€ / km)</t>
  </si>
  <si>
    <t xml:space="preserve">Erfahrungswert Vollwartungsvertrag</t>
  </si>
  <si>
    <t xml:space="preserve">€ / km</t>
  </si>
  <si>
    <t xml:space="preserve">Kraftstoff (Diesel)</t>
  </si>
  <si>
    <t xml:space="preserve">Dieselpreis × Verbrauch/100</t>
  </si>
  <si>
    <t xml:space="preserve">AdBlue</t>
  </si>
  <si>
    <t xml:space="preserve">AdBlue-Preis × Verbrauch/100</t>
  </si>
  <si>
    <t xml:space="preserve">Maut gesamt (In- &amp; Ausland)</t>
  </si>
  <si>
    <t xml:space="preserve">Gewichteter Mautdurchschnitt</t>
  </si>
  <si>
    <t xml:space="preserve">Reifenverschleiß</t>
  </si>
  <si>
    <t xml:space="preserve">Inkl. Montage &amp; Entsorgung</t>
  </si>
  <si>
    <t xml:space="preserve">Schmierstoffe &amp; Reinigung</t>
  </si>
  <si>
    <t xml:space="preserve">Motoröl, Getriebeöl, Waschanlagen</t>
  </si>
  <si>
    <t xml:space="preserve">Reparatur &amp; Wartung</t>
  </si>
  <si>
    <t xml:space="preserve">Rücklage für Hauptuntersuchung, Reparaturen</t>
  </si>
  <si>
    <t xml:space="preserve">SUMME VARIABLE KOSTEN (€/km / €/Jahr)</t>
  </si>
  <si>
    <t xml:space="preserve">4  |  ERGEBNISRECHNUNG  –  Kilometerkostensatz &amp; Frachtrate</t>
  </si>
  <si>
    <t xml:space="preserve">Gesamtkosten pro Jahr (€)</t>
  </si>
  <si>
    <t xml:space="preserve">Fixkosten + Variable Kosten</t>
  </si>
  <si>
    <t xml:space="preserve">Gesamtkilometer pro Jahr (km)</t>
  </si>
  <si>
    <t xml:space="preserve">Aus Grundannahmen</t>
  </si>
  <si>
    <t xml:space="preserve">Kilometerkostensatz  k = (K_fix + K_var) / L_ges</t>
  </si>
  <si>
    <t xml:space="preserve">Vollkosten je gefahrenem Kilometer</t>
  </si>
  <si>
    <t xml:space="preserve">davon: Fixkostenanteil je km</t>
  </si>
  <si>
    <t xml:space="preserve">Fix / Gesamt-km</t>
  </si>
  <si>
    <t xml:space="preserve">davon: Variabler Kostenanteil je km</t>
  </si>
  <si>
    <t xml:space="preserve">Aus variabler Kostentabelle</t>
  </si>
  <si>
    <t xml:space="preserve">Leerkilometer-Korrektur &amp; Mindestfrachtrate</t>
  </si>
  <si>
    <t xml:space="preserve">Lastkilometer pro Jahr (km)</t>
  </si>
  <si>
    <t xml:space="preserve">Gesamtkilometer × (1 – Leerkilometer-Anteil)</t>
  </si>
  <si>
    <t xml:space="preserve">Leerkilometer pro Jahr (km)</t>
  </si>
  <si>
    <t xml:space="preserve">Gesamtkilometer × Leerkilometer-Anteil</t>
  </si>
  <si>
    <t xml:space="preserve">Risikopuffer / Gewinnaufschlag (%)</t>
  </si>
  <si>
    <t xml:space="preserve">Empfehlung: mind. 10-15% auf Vollkosten</t>
  </si>
  <si>
    <t xml:space="preserve">Mindestfrachtrate je Lastkilometer (€/km)</t>
  </si>
  <si>
    <t xml:space="preserve">Untergrenze Preisverhandlung – kein Auftrag darunter!</t>
  </si>
  <si>
    <t xml:space="preserve">Legende &amp; Farbkodierung</t>
  </si>
  <si>
    <t xml:space="preserve">  Beispielzelle</t>
  </si>
  <si>
    <t xml:space="preserve">Eingabezelle (blau) – Wert manuell anpassen</t>
  </si>
  <si>
    <t xml:space="preserve">Formelzelle (schwarz) – automatisch berechnet</t>
  </si>
  <si>
    <t xml:space="preserve">Hauptergebnis – Kilometerkostensatz</t>
  </si>
  <si>
    <t xml:space="preserve">Preisuntergrenze – Mindestfrachtrate</t>
  </si>
  <si>
    <t xml:space="preserve">Szenarien-Vergleich – Sensitivitätsanalyse</t>
  </si>
  <si>
    <t xml:space="preserve">Wie wirken sich Änderungen bei Diesel, Maut und Auslastung auf den Kilometerkostensatz aus?</t>
  </si>
  <si>
    <t xml:space="preserve">Parameter / Szenario</t>
  </si>
  <si>
    <t xml:space="preserve">Basis
(aus Kalkulation)</t>
  </si>
  <si>
    <t xml:space="preserve">Szenario 1
(Diesel +20%)</t>
  </si>
  <si>
    <t xml:space="preserve">Szenario 2
(Maut +15%)</t>
  </si>
  <si>
    <t xml:space="preserve">Szenario 3
(Auslastung -15%)</t>
  </si>
  <si>
    <t xml:space="preserve">Dieselpreis (€/L)</t>
  </si>
  <si>
    <t xml:space="preserve">Maut Inland (€/km)</t>
  </si>
  <si>
    <t xml:space="preserve">Jahreskilometer (km)</t>
  </si>
  <si>
    <t xml:space="preserve">Fixkosten p.a. (€)</t>
  </si>
  <si>
    <t xml:space="preserve">Berechneter Kilometerkostensatz je Szenario</t>
  </si>
  <si>
    <t xml:space="preserve">Variable Kraftstoffkosten (€/km)</t>
  </si>
  <si>
    <t xml:space="preserve">Variable Mautkosten (€/km)</t>
  </si>
  <si>
    <t xml:space="preserve">Sonstige variable Kosten (€/km)</t>
  </si>
  <si>
    <t xml:space="preserve">Summe Variable Kosten (€/km)</t>
  </si>
  <si>
    <t xml:space="preserve">Fixkosten je km (€/km)</t>
  </si>
  <si>
    <t xml:space="preserve">KILOMETERKOSTENSATZ k (€/km)</t>
  </si>
  <si>
    <t xml:space="preserve">Veränderung vs. Basis (€/km)</t>
  </si>
  <si>
    <t xml:space="preserve">Hinweis: Gelbe Zellen in der Hauptkalkulation sind Eingabefelder. Die Szenarien berechnen sich automatisch auf Basis dieser Eingaben.</t>
  </si>
  <si>
    <t xml:space="preserve">Tourenkalkulation – Deckungsbeitragsrechnung je Fahrt</t>
  </si>
  <si>
    <t xml:space="preserve">Gibt jede einzelne Tour einen positiven Deckungsbeitrag? Leerkilometer inklusive!</t>
  </si>
  <si>
    <t xml:space="preserve">Toureneingabe</t>
  </si>
  <si>
    <t xml:space="preserve">Lastkilometer (km)</t>
  </si>
  <si>
    <t xml:space="preserve">Beladen gefahrene km</t>
  </si>
  <si>
    <t xml:space="preserve">Leerkilometer zur Aufnahme (km)</t>
  </si>
  <si>
    <t xml:space="preserve">Km zur Abholung ohne Ladung</t>
  </si>
  <si>
    <t xml:space="preserve">Vereinbarte Frachtrate (€ / Lastkilometer)</t>
  </si>
  <si>
    <t xml:space="preserve">Preis je Lastkilometer</t>
  </si>
  <si>
    <t xml:space="preserve">Sonstige Erlöse (z.B. Standgeld) (€)</t>
  </si>
  <si>
    <t xml:space="preserve">Weitere Erlöse für diese Tour</t>
  </si>
  <si>
    <t xml:space="preserve">Wartezeit Stunden (h)</t>
  </si>
  <si>
    <t xml:space="preserve">Wartezeit am Be-/Entladeort</t>
  </si>
  <si>
    <t xml:space="preserve">Standgeld-Satz (€/Std.)</t>
  </si>
  <si>
    <t xml:space="preserve">Falls Standgeld berechnet wird</t>
  </si>
  <si>
    <t xml:space="preserve">Tourenergebnis</t>
  </si>
  <si>
    <t xml:space="preserve">Gesamtkilometer Tour (km)</t>
  </si>
  <si>
    <t xml:space="preserve">Last + Leer</t>
  </si>
  <si>
    <t xml:space="preserve">Umsatz Fracht (€)</t>
  </si>
  <si>
    <t xml:space="preserve">Lastkilometer × Frachtrate</t>
  </si>
  <si>
    <t xml:space="preserve">Standgelderlöse (€)</t>
  </si>
  <si>
    <t xml:space="preserve">Wartezeit × Satz + Sonstiges</t>
  </si>
  <si>
    <t xml:space="preserve">Gesamtumsatz Tour (€)</t>
  </si>
  <si>
    <t xml:space="preserve">Summe aller Erlöse</t>
  </si>
  <si>
    <t xml:space="preserve">Variable Kosten Tour (€)</t>
  </si>
  <si>
    <t xml:space="preserve">Gesamtkilometer × var. Kostensatz</t>
  </si>
  <si>
    <t xml:space="preserve">Anteilige Fixkosten Tour (€)</t>
  </si>
  <si>
    <t xml:space="preserve">Proportionale Fixkostenbelastung</t>
  </si>
  <si>
    <t xml:space="preserve">Gesamtkosten Tour (€)</t>
  </si>
  <si>
    <t xml:space="preserve">Variable + Fixkosten</t>
  </si>
  <si>
    <t xml:space="preserve">DECKUNGSBEITRAG I (€)</t>
  </si>
  <si>
    <t xml:space="preserve">Umsatz – variable Kosten</t>
  </si>
  <si>
    <t xml:space="preserve">DECKUNGSBEITRAG II (€)  [= Tourenergebnis]</t>
  </si>
  <si>
    <t xml:space="preserve">Umsatz – Gesamtkosten (Gewinn je Tour)</t>
  </si>
  <si>
    <t xml:space="preserve">Deckungsbeitragsquote (%)</t>
  </si>
  <si>
    <t xml:space="preserve">DB II / Gesamtumsatz</t>
  </si>
  <si>
    <t xml:space="preserve">Kosten je Lastkilometer (€/km)</t>
  </si>
  <si>
    <t xml:space="preserve">Gesamtkosten / Lastkilometer</t>
  </si>
  <si>
    <t xml:space="preserve">Breakeven – Gesamtkosten / Lastkilometer</t>
  </si>
  <si>
    <t xml:space="preserve">Flottenkalkulation – Kostenübersicht je Fahrzeug</t>
  </si>
  <si>
    <t xml:space="preserve">Erfassen Sie bis zu 10 Fahrzeuge. Felder mit gelbem Hintergrund sind Eingabefelder.</t>
  </si>
  <si>
    <t xml:space="preserve">Nr.</t>
  </si>
  <si>
    <t xml:space="preserve">Fahrzeug / Kennzeichen</t>
  </si>
  <si>
    <t xml:space="preserve">Jahres-km</t>
  </si>
  <si>
    <t xml:space="preserve">Var. Kosten/km (€)</t>
  </si>
  <si>
    <t xml:space="preserve">Var. Kosten p.a. (€)</t>
  </si>
  <si>
    <t xml:space="preserve">Gesamtkosten p.a. (€)</t>
  </si>
  <si>
    <t xml:space="preserve">KKS (€/km)</t>
  </si>
  <si>
    <t xml:space="preserve">Auslastung (%)</t>
  </si>
  <si>
    <t xml:space="preserve">Fahrzeug 01</t>
  </si>
  <si>
    <t xml:space="preserve">Fahrzeug 02</t>
  </si>
  <si>
    <t xml:space="preserve">Fahrzeug 03</t>
  </si>
  <si>
    <t xml:space="preserve">Fahrzeug 04</t>
  </si>
  <si>
    <t xml:space="preserve">Fahrzeug 05</t>
  </si>
  <si>
    <t xml:space="preserve">Fahrzeug 06</t>
  </si>
  <si>
    <t xml:space="preserve">Fahrzeug 07</t>
  </si>
  <si>
    <t xml:space="preserve">Fahrzeug 08</t>
  </si>
  <si>
    <t xml:space="preserve">Fahrzeug 09</t>
  </si>
  <si>
    <t xml:space="preserve">Fahrzeug 10</t>
  </si>
  <si>
    <t xml:space="preserve">FLOTTENGESAMT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</si>
</sst>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&quot; €&quot;;\(#,##0&quot; €)&quot;;\-"/>
    <numFmt numFmtId="166" formatCode="0.0%;\(0.0%\);\-"/>
    <numFmt numFmtId="167" formatCode="#,##0.00&quot; €&quot;;\(#,##0.00&quot; €)&quot;;\-"/>
    <numFmt numFmtId="168" formatCode="0.0&quot; L/100km&quot;"/>
    <numFmt numFmtId="169" formatCode="0.0"/>
    <numFmt numFmtId="170" formatCode="#,##0.000&quot; €/km&quot;;\(#,##0.000&quot; €/km)&quot;;\-"/>
    <numFmt numFmtId="171" formatCode="#,##0&quot;  km&quot;;\(#,##0&quot;  km)&quot;;\-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BDD7E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843C0C"/>
      <name val="Arial"/>
      <family val="0"/>
      <charset val="1"/>
    </font>
    <font>
      <b val="true"/>
      <sz val="11"/>
      <color rgb="FF843C0C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843C0C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DEEAF1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2EFDA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/>
      <bottom style="medium">
        <color rgb="FF1F3864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11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1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14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70" fontId="22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0" fillId="7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7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5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7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DEEAF1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843C0C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7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" t="s">
        <v>0</v>
      </c>
      <c r="C2" s="1"/>
      <c r="D2" s="1"/>
      <c r="E2" s="1"/>
    </row>
    <row r="3" customFormat="false" ht="19.5" hidden="false" customHeight="true" outlineLevel="0" collapsed="false">
      <c r="B3" s="2" t="s">
        <v>1</v>
      </c>
      <c r="C3" s="2"/>
      <c r="D3" s="2"/>
      <c r="E3" s="2"/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</row>
    <row r="6" customFormat="false" ht="18" hidden="false" customHeight="true" outlineLevel="0" collapsed="false">
      <c r="B6" s="4" t="s">
        <v>3</v>
      </c>
      <c r="C6" s="4"/>
      <c r="D6" s="4"/>
      <c r="E6" s="4"/>
    </row>
    <row r="7" customFormat="false" ht="18" hidden="false" customHeight="true" outlineLevel="0" collapsed="false">
      <c r="B7" s="5" t="s">
        <v>4</v>
      </c>
      <c r="C7" s="6" t="s">
        <v>5</v>
      </c>
      <c r="D7" s="7" t="s">
        <v>6</v>
      </c>
      <c r="E7" s="7"/>
    </row>
    <row r="8" customFormat="false" ht="18" hidden="false" customHeight="true" outlineLevel="0" collapsed="false">
      <c r="B8" s="8" t="s">
        <v>7</v>
      </c>
      <c r="C8" s="9" t="n">
        <v>180000</v>
      </c>
      <c r="D8" s="7" t="s">
        <v>8</v>
      </c>
      <c r="E8" s="7"/>
    </row>
    <row r="9" customFormat="false" ht="18" hidden="false" customHeight="true" outlineLevel="0" collapsed="false">
      <c r="B9" s="5" t="s">
        <v>9</v>
      </c>
      <c r="C9" s="9" t="n">
        <v>20000</v>
      </c>
      <c r="D9" s="7" t="s">
        <v>10</v>
      </c>
      <c r="E9" s="7"/>
    </row>
    <row r="10" customFormat="false" ht="18" hidden="false" customHeight="true" outlineLevel="0" collapsed="false">
      <c r="B10" s="8" t="s">
        <v>11</v>
      </c>
      <c r="C10" s="6" t="n">
        <v>6</v>
      </c>
      <c r="D10" s="7" t="s">
        <v>12</v>
      </c>
      <c r="E10" s="7"/>
    </row>
    <row r="11" customFormat="false" ht="18" hidden="false" customHeight="true" outlineLevel="0" collapsed="false">
      <c r="B11" s="5" t="s">
        <v>13</v>
      </c>
      <c r="C11" s="9" t="n">
        <v>120000</v>
      </c>
      <c r="D11" s="7" t="s">
        <v>14</v>
      </c>
      <c r="E11" s="7"/>
    </row>
    <row r="12" customFormat="false" ht="18" hidden="false" customHeight="true" outlineLevel="0" collapsed="false">
      <c r="B12" s="8" t="s">
        <v>15</v>
      </c>
      <c r="C12" s="10" t="n">
        <v>0.15</v>
      </c>
      <c r="D12" s="7" t="s">
        <v>16</v>
      </c>
      <c r="E12" s="7"/>
    </row>
    <row r="14" customFormat="false" ht="21.75" hidden="false" customHeight="true" outlineLevel="0" collapsed="false">
      <c r="B14" s="3" t="s">
        <v>17</v>
      </c>
      <c r="C14" s="3"/>
      <c r="D14" s="3"/>
      <c r="E14" s="3"/>
    </row>
    <row r="15" customFormat="false" ht="18" hidden="false" customHeight="true" outlineLevel="0" collapsed="false">
      <c r="B15" s="11" t="s">
        <v>18</v>
      </c>
      <c r="C15" s="12" t="s">
        <v>19</v>
      </c>
      <c r="D15" s="12" t="s">
        <v>20</v>
      </c>
      <c r="E15" s="11" t="s">
        <v>21</v>
      </c>
    </row>
    <row r="16" customFormat="false" ht="18" hidden="false" customHeight="true" outlineLevel="0" collapsed="false">
      <c r="B16" s="4" t="s">
        <v>22</v>
      </c>
      <c r="C16" s="4"/>
      <c r="D16" s="4"/>
      <c r="E16" s="4"/>
    </row>
    <row r="17" customFormat="false" ht="18" hidden="false" customHeight="true" outlineLevel="0" collapsed="false">
      <c r="B17" s="8" t="s">
        <v>23</v>
      </c>
      <c r="C17" s="9" t="n">
        <v>1260</v>
      </c>
      <c r="D17" s="13"/>
      <c r="E17" s="13"/>
    </row>
    <row r="18" customFormat="false" ht="18" hidden="false" customHeight="true" outlineLevel="0" collapsed="false">
      <c r="B18" s="8" t="s">
        <v>24</v>
      </c>
      <c r="C18" s="10" t="n">
        <v>0.055</v>
      </c>
      <c r="D18" s="13"/>
      <c r="E18" s="13"/>
    </row>
    <row r="19" customFormat="false" ht="18" hidden="false" customHeight="true" outlineLevel="0" collapsed="false">
      <c r="B19" s="11" t="s">
        <v>18</v>
      </c>
      <c r="C19" s="12" t="s">
        <v>19</v>
      </c>
      <c r="D19" s="12" t="s">
        <v>20</v>
      </c>
      <c r="E19" s="11" t="s">
        <v>21</v>
      </c>
    </row>
    <row r="20" customFormat="false" ht="18" hidden="false" customHeight="true" outlineLevel="0" collapsed="false">
      <c r="B20" s="5" t="s">
        <v>25</v>
      </c>
      <c r="C20" s="14" t="n">
        <f aca="false">(C8-C9)/C10/12</f>
        <v>2222.22222222222</v>
      </c>
      <c r="D20" s="14" t="n">
        <f aca="false">C20*12</f>
        <v>26666.6666666667</v>
      </c>
      <c r="E20" s="15" t="s">
        <v>26</v>
      </c>
    </row>
    <row r="21" customFormat="false" ht="18" hidden="false" customHeight="true" outlineLevel="0" collapsed="false">
      <c r="B21" s="8" t="s">
        <v>27</v>
      </c>
      <c r="C21" s="16" t="n">
        <v>0</v>
      </c>
      <c r="D21" s="17" t="n">
        <f aca="false">C21*12</f>
        <v>0</v>
      </c>
      <c r="E21" s="7" t="s">
        <v>28</v>
      </c>
    </row>
    <row r="22" customFormat="false" ht="18" hidden="false" customHeight="true" outlineLevel="0" collapsed="false">
      <c r="B22" s="5" t="s">
        <v>29</v>
      </c>
      <c r="C22" s="16" t="n">
        <v>3800</v>
      </c>
      <c r="D22" s="14" t="n">
        <f aca="false">C22*12</f>
        <v>45600</v>
      </c>
      <c r="E22" s="15" t="s">
        <v>30</v>
      </c>
    </row>
    <row r="23" customFormat="false" ht="18" hidden="false" customHeight="true" outlineLevel="0" collapsed="false">
      <c r="B23" s="8" t="s">
        <v>31</v>
      </c>
      <c r="C23" s="17" t="n">
        <f aca="false">C22*0.21</f>
        <v>798</v>
      </c>
      <c r="D23" s="17" t="n">
        <f aca="false">C23*12</f>
        <v>9576</v>
      </c>
      <c r="E23" s="7" t="s">
        <v>32</v>
      </c>
    </row>
    <row r="24" customFormat="false" ht="18" hidden="false" customHeight="true" outlineLevel="0" collapsed="false">
      <c r="B24" s="5" t="s">
        <v>33</v>
      </c>
      <c r="C24" s="16" t="n">
        <v>350</v>
      </c>
      <c r="D24" s="14" t="n">
        <f aca="false">C24*12</f>
        <v>4200</v>
      </c>
      <c r="E24" s="15" t="s">
        <v>34</v>
      </c>
    </row>
    <row r="25" customFormat="false" ht="18" hidden="false" customHeight="true" outlineLevel="0" collapsed="false">
      <c r="B25" s="8" t="s">
        <v>35</v>
      </c>
      <c r="C25" s="17" t="n">
        <f aca="false">C17/12</f>
        <v>105</v>
      </c>
      <c r="D25" s="17" t="n">
        <f aca="false">C25*12</f>
        <v>1260</v>
      </c>
      <c r="E25" s="7" t="s">
        <v>36</v>
      </c>
    </row>
    <row r="26" customFormat="false" ht="18" hidden="false" customHeight="true" outlineLevel="0" collapsed="false">
      <c r="B26" s="5" t="s">
        <v>37</v>
      </c>
      <c r="C26" s="16" t="n">
        <v>420</v>
      </c>
      <c r="D26" s="14" t="n">
        <f aca="false">C26*12</f>
        <v>5040</v>
      </c>
      <c r="E26" s="15" t="s">
        <v>38</v>
      </c>
    </row>
    <row r="27" customFormat="false" ht="18" hidden="false" customHeight="true" outlineLevel="0" collapsed="false">
      <c r="B27" s="8" t="s">
        <v>39</v>
      </c>
      <c r="C27" s="16" t="n">
        <v>180</v>
      </c>
      <c r="D27" s="17" t="n">
        <f aca="false">C27*12</f>
        <v>2160</v>
      </c>
      <c r="E27" s="7" t="s">
        <v>38</v>
      </c>
    </row>
    <row r="28" customFormat="false" ht="18" hidden="false" customHeight="true" outlineLevel="0" collapsed="false">
      <c r="B28" s="5" t="s">
        <v>40</v>
      </c>
      <c r="C28" s="16" t="n">
        <v>320</v>
      </c>
      <c r="D28" s="14" t="n">
        <f aca="false">C28*12</f>
        <v>3840</v>
      </c>
      <c r="E28" s="15" t="s">
        <v>41</v>
      </c>
    </row>
    <row r="29" customFormat="false" ht="18" hidden="false" customHeight="true" outlineLevel="0" collapsed="false">
      <c r="B29" s="8" t="s">
        <v>42</v>
      </c>
      <c r="C29" s="17" t="n">
        <f aca="false">((C8+C9)/2)*C18/12</f>
        <v>458.333333333333</v>
      </c>
      <c r="D29" s="17" t="n">
        <f aca="false">C29*12</f>
        <v>5500</v>
      </c>
      <c r="E29" s="7" t="s">
        <v>43</v>
      </c>
    </row>
    <row r="30" customFormat="false" ht="18" hidden="false" customHeight="true" outlineLevel="0" collapsed="false">
      <c r="B30" s="18" t="s">
        <v>44</v>
      </c>
      <c r="C30" s="19" t="n">
        <f aca="false">SUM(C20:C29)</f>
        <v>8653.55555555556</v>
      </c>
      <c r="D30" s="19" t="n">
        <f aca="false">SUM(D20:D29)</f>
        <v>103842.666666667</v>
      </c>
      <c r="E30" s="20"/>
    </row>
    <row r="32" customFormat="false" ht="21.75" hidden="false" customHeight="true" outlineLevel="0" collapsed="false">
      <c r="B32" s="3" t="s">
        <v>45</v>
      </c>
      <c r="C32" s="3"/>
      <c r="D32" s="3"/>
      <c r="E32" s="3"/>
    </row>
    <row r="33" customFormat="false" ht="18" hidden="false" customHeight="true" outlineLevel="0" collapsed="false">
      <c r="B33" s="4" t="s">
        <v>46</v>
      </c>
      <c r="C33" s="4"/>
      <c r="D33" s="4"/>
      <c r="E33" s="4"/>
    </row>
    <row r="34" customFormat="false" ht="18" hidden="false" customHeight="true" outlineLevel="0" collapsed="false">
      <c r="B34" s="8" t="s">
        <v>47</v>
      </c>
      <c r="C34" s="16" t="n">
        <v>1.72</v>
      </c>
      <c r="D34" s="7" t="s">
        <v>48</v>
      </c>
      <c r="E34" s="7"/>
    </row>
    <row r="35" customFormat="false" ht="18" hidden="false" customHeight="true" outlineLevel="0" collapsed="false">
      <c r="B35" s="5" t="s">
        <v>49</v>
      </c>
      <c r="C35" s="16" t="n">
        <v>0.38</v>
      </c>
      <c r="D35" s="15" t="s">
        <v>50</v>
      </c>
      <c r="E35" s="15"/>
    </row>
    <row r="36" customFormat="false" ht="18" hidden="false" customHeight="true" outlineLevel="0" collapsed="false">
      <c r="B36" s="8" t="s">
        <v>51</v>
      </c>
      <c r="C36" s="21" t="n">
        <v>28.5</v>
      </c>
      <c r="D36" s="7" t="s">
        <v>52</v>
      </c>
      <c r="E36" s="7"/>
    </row>
    <row r="37" customFormat="false" ht="18" hidden="false" customHeight="true" outlineLevel="0" collapsed="false">
      <c r="B37" s="5" t="s">
        <v>53</v>
      </c>
      <c r="C37" s="22" t="n">
        <v>1.6</v>
      </c>
      <c r="D37" s="15" t="s">
        <v>54</v>
      </c>
      <c r="E37" s="15"/>
    </row>
    <row r="38" customFormat="false" ht="18" hidden="false" customHeight="true" outlineLevel="0" collapsed="false">
      <c r="B38" s="8" t="s">
        <v>55</v>
      </c>
      <c r="C38" s="16" t="n">
        <v>0.198</v>
      </c>
      <c r="D38" s="7" t="s">
        <v>56</v>
      </c>
      <c r="E38" s="7"/>
    </row>
    <row r="39" customFormat="false" ht="18" hidden="false" customHeight="true" outlineLevel="0" collapsed="false">
      <c r="B39" s="5" t="s">
        <v>57</v>
      </c>
      <c r="C39" s="16" t="n">
        <v>0.15</v>
      </c>
      <c r="D39" s="15" t="s">
        <v>58</v>
      </c>
      <c r="E39" s="15"/>
    </row>
    <row r="40" customFormat="false" ht="18" hidden="false" customHeight="true" outlineLevel="0" collapsed="false">
      <c r="B40" s="8" t="s">
        <v>59</v>
      </c>
      <c r="C40" s="10" t="n">
        <v>0.2</v>
      </c>
      <c r="D40" s="7" t="s">
        <v>60</v>
      </c>
      <c r="E40" s="7"/>
    </row>
    <row r="41" customFormat="false" ht="18" hidden="false" customHeight="true" outlineLevel="0" collapsed="false">
      <c r="B41" s="5" t="s">
        <v>61</v>
      </c>
      <c r="C41" s="16" t="n">
        <v>0.028</v>
      </c>
      <c r="D41" s="15" t="s">
        <v>62</v>
      </c>
      <c r="E41" s="15"/>
    </row>
    <row r="42" customFormat="false" ht="18" hidden="false" customHeight="true" outlineLevel="0" collapsed="false">
      <c r="B42" s="8" t="s">
        <v>63</v>
      </c>
      <c r="C42" s="16" t="n">
        <v>0.008</v>
      </c>
      <c r="D42" s="7" t="s">
        <v>64</v>
      </c>
      <c r="E42" s="7"/>
    </row>
    <row r="43" customFormat="false" ht="18" hidden="false" customHeight="true" outlineLevel="0" collapsed="false">
      <c r="B43" s="5" t="s">
        <v>65</v>
      </c>
      <c r="C43" s="16" t="n">
        <v>0.055</v>
      </c>
      <c r="D43" s="15" t="s">
        <v>66</v>
      </c>
      <c r="E43" s="15"/>
    </row>
    <row r="45" customFormat="false" ht="18" hidden="false" customHeight="true" outlineLevel="0" collapsed="false">
      <c r="B45" s="11" t="s">
        <v>18</v>
      </c>
      <c r="C45" s="12" t="s">
        <v>67</v>
      </c>
      <c r="D45" s="12" t="s">
        <v>20</v>
      </c>
      <c r="E45" s="11" t="s">
        <v>21</v>
      </c>
    </row>
    <row r="46" customFormat="false" ht="18" hidden="false" customHeight="true" outlineLevel="0" collapsed="false">
      <c r="B46" s="5" t="s">
        <v>68</v>
      </c>
      <c r="C46" s="23" t="n">
        <f aca="false">C34*C36/100</f>
        <v>0.4902</v>
      </c>
      <c r="D46" s="24" t="n">
        <f aca="false">C46*C11</f>
        <v>58824</v>
      </c>
      <c r="E46" s="15" t="s">
        <v>69</v>
      </c>
    </row>
    <row r="47" customFormat="false" ht="18" hidden="false" customHeight="true" outlineLevel="0" collapsed="false">
      <c r="B47" s="8" t="s">
        <v>70</v>
      </c>
      <c r="C47" s="25" t="n">
        <f aca="false">C35*C37/100</f>
        <v>0.00608</v>
      </c>
      <c r="D47" s="26" t="n">
        <f aca="false">C47*C11</f>
        <v>729.6</v>
      </c>
      <c r="E47" s="7" t="s">
        <v>71</v>
      </c>
    </row>
    <row r="48" customFormat="false" ht="18" hidden="false" customHeight="true" outlineLevel="0" collapsed="false">
      <c r="B48" s="5" t="s">
        <v>72</v>
      </c>
      <c r="C48" s="23" t="n">
        <f aca="false">C38*(1-C40)+C39*C40</f>
        <v>0.1884</v>
      </c>
      <c r="D48" s="24" t="n">
        <f aca="false">C48*C11</f>
        <v>22608</v>
      </c>
      <c r="E48" s="15" t="s">
        <v>73</v>
      </c>
    </row>
    <row r="49" customFormat="false" ht="18" hidden="false" customHeight="true" outlineLevel="0" collapsed="false">
      <c r="B49" s="8" t="s">
        <v>74</v>
      </c>
      <c r="C49" s="25" t="n">
        <f aca="false">C41</f>
        <v>0.028</v>
      </c>
      <c r="D49" s="26" t="n">
        <f aca="false">C49*C11</f>
        <v>3360</v>
      </c>
      <c r="E49" s="7" t="s">
        <v>75</v>
      </c>
    </row>
    <row r="50" customFormat="false" ht="18" hidden="false" customHeight="true" outlineLevel="0" collapsed="false">
      <c r="B50" s="5" t="s">
        <v>76</v>
      </c>
      <c r="C50" s="23" t="n">
        <f aca="false">C42</f>
        <v>0.008</v>
      </c>
      <c r="D50" s="24" t="n">
        <f aca="false">C50*C11</f>
        <v>960</v>
      </c>
      <c r="E50" s="15" t="s">
        <v>77</v>
      </c>
    </row>
    <row r="51" customFormat="false" ht="18" hidden="false" customHeight="true" outlineLevel="0" collapsed="false">
      <c r="B51" s="8" t="s">
        <v>78</v>
      </c>
      <c r="C51" s="25" t="n">
        <f aca="false">C43</f>
        <v>0.055</v>
      </c>
      <c r="D51" s="26" t="n">
        <f aca="false">C51*C11</f>
        <v>6600</v>
      </c>
      <c r="E51" s="7" t="s">
        <v>79</v>
      </c>
    </row>
    <row r="52" customFormat="false" ht="18" hidden="false" customHeight="true" outlineLevel="0" collapsed="false">
      <c r="B52" s="18" t="s">
        <v>80</v>
      </c>
      <c r="C52" s="27" t="n">
        <f aca="false">SUM(C46:C51)</f>
        <v>0.77568</v>
      </c>
      <c r="D52" s="28" t="n">
        <f aca="false">SUM(D46:D51)</f>
        <v>93081.6</v>
      </c>
      <c r="E52" s="20"/>
    </row>
    <row r="54" customFormat="false" ht="21.75" hidden="false" customHeight="true" outlineLevel="0" collapsed="false">
      <c r="B54" s="3" t="s">
        <v>81</v>
      </c>
      <c r="C54" s="3"/>
      <c r="D54" s="3"/>
      <c r="E54" s="3"/>
    </row>
    <row r="55" customFormat="false" ht="18" hidden="false" customHeight="true" outlineLevel="0" collapsed="false">
      <c r="B55" s="5" t="s">
        <v>82</v>
      </c>
      <c r="C55" s="29"/>
      <c r="D55" s="24" t="n">
        <f aca="false">D30+D52</f>
        <v>196924.266666667</v>
      </c>
      <c r="E55" s="15" t="s">
        <v>83</v>
      </c>
    </row>
    <row r="56" customFormat="false" ht="18" hidden="false" customHeight="true" outlineLevel="0" collapsed="false">
      <c r="B56" s="8" t="s">
        <v>84</v>
      </c>
      <c r="C56" s="13"/>
      <c r="D56" s="30" t="n">
        <f aca="false">C11</f>
        <v>120000</v>
      </c>
      <c r="E56" s="7" t="s">
        <v>85</v>
      </c>
    </row>
    <row r="57" customFormat="false" ht="18" hidden="false" customHeight="true" outlineLevel="0" collapsed="false">
      <c r="B57" s="31" t="s">
        <v>86</v>
      </c>
      <c r="C57" s="32"/>
      <c r="D57" s="33" t="n">
        <f aca="false">D55/D56</f>
        <v>1.64103555555556</v>
      </c>
      <c r="E57" s="34" t="s">
        <v>87</v>
      </c>
    </row>
    <row r="58" customFormat="false" ht="18" hidden="false" customHeight="true" outlineLevel="0" collapsed="false">
      <c r="B58" s="8" t="s">
        <v>88</v>
      </c>
      <c r="C58" s="13"/>
      <c r="D58" s="13" t="n">
        <f aca="false">D30/D56</f>
        <v>0.865355555555555</v>
      </c>
      <c r="E58" s="7" t="s">
        <v>89</v>
      </c>
    </row>
    <row r="59" customFormat="false" ht="18" hidden="false" customHeight="true" outlineLevel="0" collapsed="false">
      <c r="B59" s="5" t="s">
        <v>90</v>
      </c>
      <c r="C59" s="29"/>
      <c r="D59" s="23" t="n">
        <f aca="false">C52</f>
        <v>0.77568</v>
      </c>
      <c r="E59" s="15" t="s">
        <v>91</v>
      </c>
    </row>
    <row r="61" customFormat="false" ht="18" hidden="false" customHeight="true" outlineLevel="0" collapsed="false">
      <c r="B61" s="35" t="s">
        <v>92</v>
      </c>
      <c r="C61" s="35"/>
      <c r="D61" s="35"/>
      <c r="E61" s="35"/>
    </row>
    <row r="62" customFormat="false" ht="18" hidden="false" customHeight="true" outlineLevel="0" collapsed="false">
      <c r="B62" s="36" t="s">
        <v>93</v>
      </c>
      <c r="C62" s="37" t="n">
        <f aca="false">C11*(1-C12)</f>
        <v>102000</v>
      </c>
      <c r="D62" s="38"/>
      <c r="E62" s="39" t="s">
        <v>94</v>
      </c>
    </row>
    <row r="63" customFormat="false" ht="18" hidden="false" customHeight="true" outlineLevel="0" collapsed="false">
      <c r="B63" s="5" t="s">
        <v>95</v>
      </c>
      <c r="C63" s="40" t="n">
        <f aca="false">C11*C12</f>
        <v>18000</v>
      </c>
      <c r="D63" s="29"/>
      <c r="E63" s="15" t="s">
        <v>96</v>
      </c>
    </row>
    <row r="64" customFormat="false" ht="18" hidden="false" customHeight="true" outlineLevel="0" collapsed="false">
      <c r="B64" s="36" t="s">
        <v>97</v>
      </c>
      <c r="C64" s="10" t="n">
        <v>0.12</v>
      </c>
      <c r="D64" s="38"/>
      <c r="E64" s="39" t="s">
        <v>98</v>
      </c>
    </row>
    <row r="65" customFormat="false" ht="18" hidden="false" customHeight="true" outlineLevel="0" collapsed="false">
      <c r="B65" s="41" t="s">
        <v>99</v>
      </c>
      <c r="C65" s="42" t="n">
        <f aca="false">D55*(1+C64)/C62</f>
        <v>2.16230567320261</v>
      </c>
      <c r="D65" s="29"/>
      <c r="E65" s="15" t="s">
        <v>100</v>
      </c>
    </row>
    <row r="68" customFormat="false" ht="21.75" hidden="false" customHeight="true" outlineLevel="0" collapsed="false">
      <c r="B68" s="3" t="s">
        <v>101</v>
      </c>
      <c r="C68" s="3"/>
      <c r="D68" s="3"/>
      <c r="E68" s="3"/>
    </row>
    <row r="69" customFormat="false" ht="15.75" hidden="false" customHeight="true" outlineLevel="0" collapsed="false">
      <c r="B69" s="43" t="s">
        <v>102</v>
      </c>
      <c r="C69" s="44" t="s">
        <v>103</v>
      </c>
      <c r="D69" s="44"/>
      <c r="E69" s="44"/>
    </row>
    <row r="70" customFormat="false" ht="15.75" hidden="false" customHeight="true" outlineLevel="0" collapsed="false">
      <c r="B70" s="45" t="s">
        <v>102</v>
      </c>
      <c r="C70" s="44" t="s">
        <v>104</v>
      </c>
      <c r="D70" s="44"/>
      <c r="E70" s="44"/>
    </row>
    <row r="71" customFormat="false" ht="15.75" hidden="false" customHeight="true" outlineLevel="0" collapsed="false">
      <c r="B71" s="46" t="s">
        <v>102</v>
      </c>
      <c r="C71" s="44" t="s">
        <v>105</v>
      </c>
      <c r="D71" s="44"/>
      <c r="E71" s="44"/>
    </row>
    <row r="72" customFormat="false" ht="15.75" hidden="false" customHeight="true" outlineLevel="0" collapsed="false">
      <c r="B72" s="47" t="s">
        <v>102</v>
      </c>
      <c r="C72" s="44" t="s">
        <v>106</v>
      </c>
      <c r="D72" s="44"/>
      <c r="E72" s="44"/>
    </row>
  </sheetData>
  <mergeCells count="33">
    <mergeCell ref="B2:E2"/>
    <mergeCell ref="B3:E3"/>
    <mergeCell ref="B5:E5"/>
    <mergeCell ref="B6:E6"/>
    <mergeCell ref="D7:E7"/>
    <mergeCell ref="D8:E8"/>
    <mergeCell ref="D9:E9"/>
    <mergeCell ref="D10:E10"/>
    <mergeCell ref="D11:E11"/>
    <mergeCell ref="D12:E12"/>
    <mergeCell ref="B14:E14"/>
    <mergeCell ref="B16:E16"/>
    <mergeCell ref="D17:E17"/>
    <mergeCell ref="D18:E18"/>
    <mergeCell ref="B32:E32"/>
    <mergeCell ref="B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B54:E54"/>
    <mergeCell ref="B61:E61"/>
    <mergeCell ref="B68:E68"/>
    <mergeCell ref="C69:E69"/>
    <mergeCell ref="C70:E70"/>
    <mergeCell ref="C71:E71"/>
    <mergeCell ref="C72:E7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20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48" t="s">
        <v>107</v>
      </c>
      <c r="C2" s="48"/>
      <c r="D2" s="48"/>
      <c r="E2" s="48"/>
      <c r="F2" s="48"/>
    </row>
    <row r="3" customFormat="false" ht="18" hidden="false" customHeight="true" outlineLevel="0" collapsed="false">
      <c r="B3" s="2" t="s">
        <v>108</v>
      </c>
      <c r="C3" s="2"/>
      <c r="D3" s="2"/>
      <c r="E3" s="2"/>
      <c r="F3" s="2"/>
    </row>
    <row r="5" customFormat="false" ht="31.5" hidden="false" customHeight="true" outlineLevel="0" collapsed="false">
      <c r="B5" s="49" t="s">
        <v>109</v>
      </c>
      <c r="C5" s="49" t="s">
        <v>110</v>
      </c>
      <c r="D5" s="49" t="s">
        <v>111</v>
      </c>
      <c r="E5" s="49" t="s">
        <v>112</v>
      </c>
      <c r="F5" s="49" t="s">
        <v>113</v>
      </c>
    </row>
    <row r="6" customFormat="false" ht="18" hidden="false" customHeight="true" outlineLevel="0" collapsed="false">
      <c r="B6" s="5" t="s">
        <v>114</v>
      </c>
      <c r="C6" s="14" t="n">
        <f aca="false">'LKW-Kostenkalkulation'!C34</f>
        <v>1.72</v>
      </c>
      <c r="D6" s="14" t="n">
        <f aca="false">'LKW-Kostenkalkulation'!C34*1.2</f>
        <v>2.064</v>
      </c>
      <c r="E6" s="14" t="n">
        <f aca="false">'LKW-Kostenkalkulation'!C34</f>
        <v>1.72</v>
      </c>
      <c r="F6" s="14" t="n">
        <f aca="false">'LKW-Kostenkalkulation'!C34</f>
        <v>1.72</v>
      </c>
    </row>
    <row r="7" customFormat="false" ht="18" hidden="false" customHeight="true" outlineLevel="0" collapsed="false">
      <c r="B7" s="8" t="s">
        <v>115</v>
      </c>
      <c r="C7" s="25" t="n">
        <f aca="false">'LKW-Kostenkalkulation'!C38</f>
        <v>0.198</v>
      </c>
      <c r="D7" s="25" t="n">
        <f aca="false">'LKW-Kostenkalkulation'!C38</f>
        <v>0.198</v>
      </c>
      <c r="E7" s="25" t="n">
        <f aca="false">'LKW-Kostenkalkulation'!C38*1.15</f>
        <v>0.2277</v>
      </c>
      <c r="F7" s="25" t="n">
        <f aca="false">'LKW-Kostenkalkulation'!C38</f>
        <v>0.198</v>
      </c>
    </row>
    <row r="8" customFormat="false" ht="18" hidden="false" customHeight="true" outlineLevel="0" collapsed="false">
      <c r="B8" s="5" t="s">
        <v>116</v>
      </c>
      <c r="C8" s="40" t="n">
        <f aca="false">'LKW-Kostenkalkulation'!C11</f>
        <v>120000</v>
      </c>
      <c r="D8" s="40" t="n">
        <f aca="false">'LKW-Kostenkalkulation'!C11</f>
        <v>120000</v>
      </c>
      <c r="E8" s="40" t="n">
        <f aca="false">'LKW-Kostenkalkulation'!C11</f>
        <v>120000</v>
      </c>
      <c r="F8" s="40" t="n">
        <f aca="false">'LKW-Kostenkalkulation'!C11*0.85</f>
        <v>102000</v>
      </c>
    </row>
    <row r="9" customFormat="false" ht="18" hidden="false" customHeight="true" outlineLevel="0" collapsed="false">
      <c r="B9" s="8" t="s">
        <v>117</v>
      </c>
      <c r="C9" s="26" t="n">
        <f aca="false">'LKW-Kostenkalkulation'!D30</f>
        <v>103842.666666667</v>
      </c>
      <c r="D9" s="26" t="n">
        <f aca="false">'LKW-Kostenkalkulation'!D30</f>
        <v>103842.666666667</v>
      </c>
      <c r="E9" s="26" t="n">
        <f aca="false">'LKW-Kostenkalkulation'!D30</f>
        <v>103842.666666667</v>
      </c>
      <c r="F9" s="26" t="n">
        <f aca="false">'LKW-Kostenkalkulation'!D30</f>
        <v>103842.666666667</v>
      </c>
    </row>
    <row r="11" customFormat="false" ht="19.5" hidden="false" customHeight="true" outlineLevel="0" collapsed="false">
      <c r="B11" s="50" t="s">
        <v>118</v>
      </c>
      <c r="C11" s="50"/>
      <c r="D11" s="50"/>
      <c r="E11" s="50"/>
      <c r="F11" s="50"/>
    </row>
    <row r="12" customFormat="false" ht="18" hidden="false" customHeight="true" outlineLevel="0" collapsed="false">
      <c r="B12" s="5" t="s">
        <v>119</v>
      </c>
      <c r="C12" s="23" t="n">
        <f aca="false">'LKW-Kostenkalkulation'!C34*'LKW-Kostenkalkulation'!C36/100</f>
        <v>0.4902</v>
      </c>
      <c r="D12" s="23" t="n">
        <f aca="false">'LKW-Kostenkalkulation'!C34*1.2*'LKW-Kostenkalkulation'!C36/100</f>
        <v>0.58824</v>
      </c>
      <c r="E12" s="23" t="n">
        <f aca="false">'LKW-Kostenkalkulation'!C34*'LKW-Kostenkalkulation'!C36/100</f>
        <v>0.4902</v>
      </c>
      <c r="F12" s="23" t="n">
        <f aca="false">'LKW-Kostenkalkulation'!C34*'LKW-Kostenkalkulation'!C36/100</f>
        <v>0.4902</v>
      </c>
    </row>
    <row r="13" customFormat="false" ht="18" hidden="false" customHeight="true" outlineLevel="0" collapsed="false">
      <c r="B13" s="8" t="s">
        <v>120</v>
      </c>
      <c r="C13" s="25" t="n">
        <f aca="false">'LKW-Kostenkalkulation'!C38*(1-'LKW-Kostenkalkulation'!C40)+'LKW-Kostenkalkulation'!C39*'LKW-Kostenkalkulation'!C40</f>
        <v>0.1884</v>
      </c>
      <c r="D13" s="25" t="n">
        <f aca="false">'LKW-Kostenkalkulation'!C38*(1-'LKW-Kostenkalkulation'!C40)+'LKW-Kostenkalkulation'!C39*'LKW-Kostenkalkulation'!C40</f>
        <v>0.1884</v>
      </c>
      <c r="E13" s="25" t="n">
        <f aca="false">'LKW-Kostenkalkulation'!C38*1.15*(1-'LKW-Kostenkalkulation'!C40)+'LKW-Kostenkalkulation'!C39*1.15*'LKW-Kostenkalkulation'!C40</f>
        <v>0.21666</v>
      </c>
      <c r="F13" s="25" t="n">
        <f aca="false">'LKW-Kostenkalkulation'!C38*(1-'LKW-Kostenkalkulation'!C40)+'LKW-Kostenkalkulation'!C39*'LKW-Kostenkalkulation'!C40</f>
        <v>0.1884</v>
      </c>
    </row>
    <row r="14" customFormat="false" ht="18" hidden="false" customHeight="true" outlineLevel="0" collapsed="false">
      <c r="B14" s="5" t="s">
        <v>121</v>
      </c>
      <c r="C14" s="23" t="n">
        <f aca="false">'LKW-Kostenkalkulation'!C35*'LKW-Kostenkalkulation'!C37/100+'LKW-Kostenkalkulation'!C41+'LKW-Kostenkalkulation'!C42+'LKW-Kostenkalkulation'!C43</f>
        <v>0.09708</v>
      </c>
      <c r="D14" s="23" t="n">
        <f aca="false">'LKW-Kostenkalkulation'!C35*'LKW-Kostenkalkulation'!C37/100+'LKW-Kostenkalkulation'!C41+'LKW-Kostenkalkulation'!C42+'LKW-Kostenkalkulation'!C43</f>
        <v>0.09708</v>
      </c>
      <c r="E14" s="23" t="n">
        <f aca="false">'LKW-Kostenkalkulation'!C35*'LKW-Kostenkalkulation'!C37/100+'LKW-Kostenkalkulation'!C41+'LKW-Kostenkalkulation'!C42+'LKW-Kostenkalkulation'!C43</f>
        <v>0.09708</v>
      </c>
      <c r="F14" s="23" t="n">
        <f aca="false">'LKW-Kostenkalkulation'!C35*'LKW-Kostenkalkulation'!C37/100+'LKW-Kostenkalkulation'!C41+'LKW-Kostenkalkulation'!C42+'LKW-Kostenkalkulation'!C43</f>
        <v>0.09708</v>
      </c>
    </row>
    <row r="15" customFormat="false" ht="18" hidden="false" customHeight="true" outlineLevel="0" collapsed="false">
      <c r="B15" s="51" t="s">
        <v>122</v>
      </c>
      <c r="C15" s="52" t="n">
        <f aca="false">SUM(C12:C14)</f>
        <v>0.77568</v>
      </c>
      <c r="D15" s="52" t="n">
        <f aca="false">SUM(D12:D14)</f>
        <v>0.87372</v>
      </c>
      <c r="E15" s="52" t="n">
        <f aca="false">SUM(E12:E14)</f>
        <v>0.80394</v>
      </c>
      <c r="F15" s="52" t="n">
        <f aca="false">SUM(F12:F14)</f>
        <v>0.77568</v>
      </c>
    </row>
    <row r="16" customFormat="false" ht="18" hidden="false" customHeight="true" outlineLevel="0" collapsed="false">
      <c r="B16" s="51" t="s">
        <v>123</v>
      </c>
      <c r="C16" s="52" t="n">
        <f aca="false">'LKW-Kostenkalkulation'!D30/'LKW-Kostenkalkulation'!C11</f>
        <v>0.865355555555555</v>
      </c>
      <c r="D16" s="52" t="n">
        <f aca="false">'LKW-Kostenkalkulation'!D30/'LKW-Kostenkalkulation'!C11</f>
        <v>0.865355555555555</v>
      </c>
      <c r="E16" s="52" t="n">
        <f aca="false">'LKW-Kostenkalkulation'!D30/'LKW-Kostenkalkulation'!C11</f>
        <v>0.865355555555555</v>
      </c>
      <c r="F16" s="52" t="n">
        <f aca="false">'LKW-Kostenkalkulation'!D30/'LKW-Kostenkalkulation'!C11*0.85</f>
        <v>0.735552222222222</v>
      </c>
    </row>
    <row r="17" customFormat="false" ht="25.5" hidden="false" customHeight="true" outlineLevel="0" collapsed="false">
      <c r="B17" s="53" t="s">
        <v>124</v>
      </c>
      <c r="C17" s="54" t="n">
        <f aca="false">C15+C16</f>
        <v>1.64103555555556</v>
      </c>
      <c r="D17" s="54" t="n">
        <f aca="false">D15+D16</f>
        <v>1.73907555555556</v>
      </c>
      <c r="E17" s="54" t="n">
        <f aca="false">E15+E16</f>
        <v>1.66929555555556</v>
      </c>
      <c r="F17" s="54" t="n">
        <f aca="false">F15+F16</f>
        <v>1.51123222222222</v>
      </c>
    </row>
    <row r="18" customFormat="false" ht="18" hidden="false" customHeight="true" outlineLevel="0" collapsed="false">
      <c r="B18" s="55" t="s">
        <v>125</v>
      </c>
      <c r="C18" s="25" t="n">
        <v>0</v>
      </c>
      <c r="D18" s="25" t="n">
        <f aca="false">D17-C17</f>
        <v>0.0980400000000001</v>
      </c>
      <c r="E18" s="25" t="n">
        <f aca="false">E17-C17</f>
        <v>0.02826</v>
      </c>
      <c r="F18" s="25" t="n">
        <f aca="false">F17-C17</f>
        <v>-0.129803333333333</v>
      </c>
    </row>
    <row r="20" customFormat="false" ht="27.75" hidden="false" customHeight="true" outlineLevel="0" collapsed="false">
      <c r="B20" s="56" t="s">
        <v>126</v>
      </c>
      <c r="C20" s="56"/>
      <c r="D20" s="56"/>
      <c r="E20" s="56"/>
      <c r="F20" s="56"/>
    </row>
  </sheetData>
  <mergeCells count="4">
    <mergeCell ref="B2:F2"/>
    <mergeCell ref="B3:F3"/>
    <mergeCell ref="B11:F11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8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48" t="s">
        <v>127</v>
      </c>
      <c r="C2" s="48"/>
      <c r="D2" s="48"/>
      <c r="E2" s="48"/>
      <c r="F2" s="48"/>
    </row>
    <row r="3" customFormat="false" ht="18" hidden="false" customHeight="true" outlineLevel="0" collapsed="false">
      <c r="B3" s="2" t="s">
        <v>128</v>
      </c>
      <c r="C3" s="2"/>
      <c r="D3" s="2"/>
      <c r="E3" s="2"/>
      <c r="F3" s="2"/>
    </row>
    <row r="5" customFormat="false" ht="21.75" hidden="false" customHeight="true" outlineLevel="0" collapsed="false">
      <c r="B5" s="3" t="s">
        <v>129</v>
      </c>
      <c r="C5" s="3"/>
      <c r="D5" s="3"/>
      <c r="E5" s="3"/>
      <c r="F5" s="3"/>
    </row>
    <row r="6" customFormat="false" ht="18" hidden="false" customHeight="true" outlineLevel="0" collapsed="false">
      <c r="B6" s="5" t="s">
        <v>130</v>
      </c>
      <c r="C6" s="57" t="n">
        <v>350</v>
      </c>
      <c r="D6" s="15" t="s">
        <v>131</v>
      </c>
      <c r="E6" s="15"/>
      <c r="F6" s="29"/>
    </row>
    <row r="7" customFormat="false" ht="18" hidden="false" customHeight="true" outlineLevel="0" collapsed="false">
      <c r="B7" s="8" t="s">
        <v>132</v>
      </c>
      <c r="C7" s="57" t="n">
        <v>45</v>
      </c>
      <c r="D7" s="7" t="s">
        <v>133</v>
      </c>
      <c r="E7" s="7"/>
      <c r="F7" s="13"/>
    </row>
    <row r="8" customFormat="false" ht="18" hidden="false" customHeight="true" outlineLevel="0" collapsed="false">
      <c r="B8" s="5" t="s">
        <v>134</v>
      </c>
      <c r="C8" s="16" t="n">
        <v>1.85</v>
      </c>
      <c r="D8" s="15" t="s">
        <v>135</v>
      </c>
      <c r="E8" s="15"/>
      <c r="F8" s="29"/>
    </row>
    <row r="9" customFormat="false" ht="18" hidden="false" customHeight="true" outlineLevel="0" collapsed="false">
      <c r="B9" s="8" t="s">
        <v>136</v>
      </c>
      <c r="C9" s="9" t="n">
        <v>0</v>
      </c>
      <c r="D9" s="7" t="s">
        <v>137</v>
      </c>
      <c r="E9" s="7"/>
      <c r="F9" s="13"/>
    </row>
    <row r="10" customFormat="false" ht="18" hidden="false" customHeight="true" outlineLevel="0" collapsed="false">
      <c r="B10" s="5" t="s">
        <v>138</v>
      </c>
      <c r="C10" s="22" t="n">
        <v>0.5</v>
      </c>
      <c r="D10" s="15" t="s">
        <v>139</v>
      </c>
      <c r="E10" s="15"/>
      <c r="F10" s="29"/>
    </row>
    <row r="11" customFormat="false" ht="18" hidden="false" customHeight="true" outlineLevel="0" collapsed="false">
      <c r="B11" s="8" t="s">
        <v>140</v>
      </c>
      <c r="C11" s="9" t="n">
        <v>35</v>
      </c>
      <c r="D11" s="7" t="s">
        <v>141</v>
      </c>
      <c r="E11" s="7"/>
      <c r="F11" s="13"/>
    </row>
    <row r="13" customFormat="false" ht="21.75" hidden="false" customHeight="true" outlineLevel="0" collapsed="false">
      <c r="B13" s="3" t="s">
        <v>142</v>
      </c>
      <c r="C13" s="3"/>
      <c r="D13" s="3"/>
      <c r="E13" s="3"/>
      <c r="F13" s="3"/>
    </row>
    <row r="14" customFormat="false" ht="18" hidden="false" customHeight="true" outlineLevel="0" collapsed="false">
      <c r="B14" s="5" t="s">
        <v>143</v>
      </c>
      <c r="C14" s="40" t="n">
        <f aca="false">C6+C7</f>
        <v>395</v>
      </c>
      <c r="D14" s="15" t="s">
        <v>144</v>
      </c>
      <c r="E14" s="15"/>
      <c r="F14" s="29"/>
    </row>
    <row r="15" customFormat="false" ht="18" hidden="false" customHeight="true" outlineLevel="0" collapsed="false">
      <c r="B15" s="8" t="s">
        <v>145</v>
      </c>
      <c r="C15" s="26" t="n">
        <f aca="false">C6*C8</f>
        <v>647.5</v>
      </c>
      <c r="D15" s="7" t="s">
        <v>146</v>
      </c>
      <c r="E15" s="7"/>
      <c r="F15" s="13"/>
    </row>
    <row r="16" customFormat="false" ht="18" hidden="false" customHeight="true" outlineLevel="0" collapsed="false">
      <c r="B16" s="5" t="s">
        <v>147</v>
      </c>
      <c r="C16" s="24" t="n">
        <f aca="false">C10*C11+C9</f>
        <v>17.5</v>
      </c>
      <c r="D16" s="15" t="s">
        <v>148</v>
      </c>
      <c r="E16" s="15"/>
      <c r="F16" s="29"/>
    </row>
    <row r="17" customFormat="false" ht="18" hidden="false" customHeight="true" outlineLevel="0" collapsed="false">
      <c r="B17" s="8" t="s">
        <v>149</v>
      </c>
      <c r="C17" s="26" t="n">
        <f aca="false">C15+C16</f>
        <v>665</v>
      </c>
      <c r="D17" s="7" t="s">
        <v>150</v>
      </c>
      <c r="E17" s="7"/>
      <c r="F17" s="13"/>
    </row>
    <row r="18" customFormat="false" ht="18" hidden="false" customHeight="true" outlineLevel="0" collapsed="false">
      <c r="B18" s="5" t="s">
        <v>151</v>
      </c>
      <c r="C18" s="24" t="n">
        <f aca="false">(C6+C7)*'LKW-Kostenkalkulation'!C52</f>
        <v>306.3936</v>
      </c>
      <c r="D18" s="15" t="s">
        <v>152</v>
      </c>
      <c r="E18" s="15"/>
      <c r="F18" s="29"/>
    </row>
    <row r="19" customFormat="false" ht="18" hidden="false" customHeight="true" outlineLevel="0" collapsed="false">
      <c r="B19" s="8" t="s">
        <v>153</v>
      </c>
      <c r="C19" s="26" t="n">
        <f aca="false">(C6+C7)*'LKW-Kostenkalkulation'!D30/'LKW-Kostenkalkulation'!C11</f>
        <v>341.815444444444</v>
      </c>
      <c r="D19" s="7" t="s">
        <v>154</v>
      </c>
      <c r="E19" s="7"/>
      <c r="F19" s="13"/>
    </row>
    <row r="20" customFormat="false" ht="18" hidden="false" customHeight="true" outlineLevel="0" collapsed="false">
      <c r="B20" s="5" t="s">
        <v>155</v>
      </c>
      <c r="C20" s="58" t="n">
        <f aca="false">C18+C19</f>
        <v>648.209044444444</v>
      </c>
      <c r="D20" s="15" t="s">
        <v>156</v>
      </c>
      <c r="E20" s="15"/>
      <c r="F20" s="29"/>
    </row>
    <row r="21" customFormat="false" ht="18" hidden="false" customHeight="true" outlineLevel="0" collapsed="false">
      <c r="B21" s="59" t="s">
        <v>157</v>
      </c>
      <c r="C21" s="60" t="n">
        <f aca="false">C17-C18</f>
        <v>358.6064</v>
      </c>
      <c r="D21" s="7" t="s">
        <v>158</v>
      </c>
      <c r="E21" s="7"/>
      <c r="F21" s="13"/>
    </row>
    <row r="22" customFormat="false" ht="18" hidden="false" customHeight="true" outlineLevel="0" collapsed="false">
      <c r="B22" s="31" t="s">
        <v>159</v>
      </c>
      <c r="C22" s="61" t="n">
        <f aca="false">C17-C20</f>
        <v>16.7909555555557</v>
      </c>
      <c r="D22" s="34" t="s">
        <v>160</v>
      </c>
      <c r="E22" s="34"/>
      <c r="F22" s="32"/>
    </row>
    <row r="23" customFormat="false" ht="18" hidden="false" customHeight="true" outlineLevel="0" collapsed="false">
      <c r="B23" s="8" t="s">
        <v>161</v>
      </c>
      <c r="C23" s="62" t="n">
        <f aca="false">IF(C17&lt;&gt;0,C22/C17,0)</f>
        <v>0.0252495572263995</v>
      </c>
      <c r="D23" s="7" t="s">
        <v>162</v>
      </c>
      <c r="E23" s="7"/>
      <c r="F23" s="13"/>
    </row>
    <row r="24" customFormat="false" ht="18" hidden="false" customHeight="true" outlineLevel="0" collapsed="false">
      <c r="B24" s="5" t="s">
        <v>163</v>
      </c>
      <c r="C24" s="63" t="n">
        <f aca="false">IF(C6&lt;&gt;0,C20/C6,0)</f>
        <v>1.85202584126984</v>
      </c>
      <c r="D24" s="15" t="s">
        <v>164</v>
      </c>
      <c r="E24" s="15"/>
      <c r="F24" s="29"/>
    </row>
    <row r="25" customFormat="false" ht="18" hidden="false" customHeight="true" outlineLevel="0" collapsed="false">
      <c r="B25" s="8" t="s">
        <v>99</v>
      </c>
      <c r="C25" s="64" t="n">
        <f aca="false">IF(C6&lt;&gt;0,C20/C6,0)</f>
        <v>1.85202584126984</v>
      </c>
      <c r="D25" s="7" t="s">
        <v>165</v>
      </c>
      <c r="E25" s="7"/>
      <c r="F25" s="13"/>
    </row>
  </sheetData>
  <mergeCells count="22">
    <mergeCell ref="B2:F2"/>
    <mergeCell ref="B3:F3"/>
    <mergeCell ref="B5:F5"/>
    <mergeCell ref="D6:E6"/>
    <mergeCell ref="D7:E7"/>
    <mergeCell ref="D8:E8"/>
    <mergeCell ref="D9:E9"/>
    <mergeCell ref="D10:E10"/>
    <mergeCell ref="D11:E11"/>
    <mergeCell ref="B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22"/>
    <col collapsed="false" customWidth="true" hidden="false" outlineLevel="0" max="10" min="4" style="0" width="14"/>
    <col collapsed="false" customWidth="true" hidden="false" outlineLevel="0" max="11" min="11" style="0" width="3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48" t="s">
        <v>166</v>
      </c>
      <c r="C2" s="48"/>
      <c r="D2" s="48"/>
      <c r="E2" s="48"/>
      <c r="F2" s="48"/>
      <c r="G2" s="48"/>
      <c r="H2" s="48"/>
      <c r="I2" s="48"/>
      <c r="J2" s="48"/>
    </row>
    <row r="3" customFormat="false" ht="18" hidden="false" customHeight="true" outlineLevel="0" collapsed="false">
      <c r="B3" s="2" t="s">
        <v>167</v>
      </c>
      <c r="C3" s="2"/>
      <c r="D3" s="2"/>
      <c r="E3" s="2"/>
      <c r="F3" s="2"/>
      <c r="G3" s="2"/>
      <c r="H3" s="2"/>
      <c r="I3" s="2"/>
      <c r="J3" s="2"/>
    </row>
    <row r="5" customFormat="false" ht="30" hidden="false" customHeight="true" outlineLevel="0" collapsed="false">
      <c r="B5" s="49" t="s">
        <v>168</v>
      </c>
      <c r="C5" s="49" t="s">
        <v>169</v>
      </c>
      <c r="D5" s="49" t="s">
        <v>170</v>
      </c>
      <c r="E5" s="49" t="s">
        <v>117</v>
      </c>
      <c r="F5" s="49" t="s">
        <v>171</v>
      </c>
      <c r="G5" s="49" t="s">
        <v>172</v>
      </c>
      <c r="H5" s="49" t="s">
        <v>173</v>
      </c>
      <c r="I5" s="49" t="s">
        <v>174</v>
      </c>
      <c r="J5" s="49" t="s">
        <v>175</v>
      </c>
    </row>
    <row r="6" customFormat="false" ht="18" hidden="false" customHeight="true" outlineLevel="0" collapsed="false">
      <c r="B6" s="65" t="n">
        <v>1</v>
      </c>
      <c r="C6" s="66" t="s">
        <v>176</v>
      </c>
      <c r="D6" s="57" t="n">
        <v>120000</v>
      </c>
      <c r="E6" s="24" t="n">
        <f aca="false">'LKW-Kostenkalkulation'!D30</f>
        <v>103842.666666667</v>
      </c>
      <c r="F6" s="23" t="n">
        <f aca="false">'LKW-Kostenkalkulation'!C52</f>
        <v>0.77568</v>
      </c>
      <c r="G6" s="24" t="n">
        <f aca="false">D6*F6</f>
        <v>93081.6</v>
      </c>
      <c r="H6" s="24" t="n">
        <f aca="false">E6+G6</f>
        <v>196924.266666667</v>
      </c>
      <c r="I6" s="23" t="n">
        <f aca="false">IF(D6&gt;0,H6/D6,0)</f>
        <v>1.64103555555556</v>
      </c>
      <c r="J6" s="10" t="n">
        <v>0.8</v>
      </c>
    </row>
    <row r="7" customFormat="false" ht="18" hidden="false" customHeight="true" outlineLevel="0" collapsed="false">
      <c r="B7" s="67" t="n">
        <v>2</v>
      </c>
      <c r="C7" s="66" t="s">
        <v>177</v>
      </c>
      <c r="D7" s="57" t="n">
        <v>120000</v>
      </c>
      <c r="E7" s="26" t="n">
        <f aca="false">'LKW-Kostenkalkulation'!D30</f>
        <v>103842.666666667</v>
      </c>
      <c r="F7" s="25" t="n">
        <f aca="false">'LKW-Kostenkalkulation'!C52</f>
        <v>0.77568</v>
      </c>
      <c r="G7" s="26" t="n">
        <f aca="false">D7*F7</f>
        <v>93081.6</v>
      </c>
      <c r="H7" s="26" t="n">
        <f aca="false">E7+G7</f>
        <v>196924.266666667</v>
      </c>
      <c r="I7" s="25" t="n">
        <f aca="false">IF(D7&gt;0,H7/D7,0)</f>
        <v>1.64103555555556</v>
      </c>
      <c r="J7" s="10" t="n">
        <v>0.79</v>
      </c>
    </row>
    <row r="8" customFormat="false" ht="18" hidden="false" customHeight="true" outlineLevel="0" collapsed="false">
      <c r="B8" s="65" t="n">
        <v>3</v>
      </c>
      <c r="C8" s="66" t="s">
        <v>178</v>
      </c>
      <c r="D8" s="57" t="n">
        <v>120000</v>
      </c>
      <c r="E8" s="24" t="n">
        <f aca="false">'LKW-Kostenkalkulation'!D30</f>
        <v>103842.666666667</v>
      </c>
      <c r="F8" s="23" t="n">
        <f aca="false">'LKW-Kostenkalkulation'!C52</f>
        <v>0.77568</v>
      </c>
      <c r="G8" s="24" t="n">
        <f aca="false">D8*F8</f>
        <v>93081.6</v>
      </c>
      <c r="H8" s="24" t="n">
        <f aca="false">E8+G8</f>
        <v>196924.266666667</v>
      </c>
      <c r="I8" s="23" t="n">
        <f aca="false">IF(D8&gt;0,H8/D8,0)</f>
        <v>1.64103555555556</v>
      </c>
      <c r="J8" s="10" t="n">
        <v>0.78</v>
      </c>
    </row>
    <row r="9" customFormat="false" ht="18" hidden="false" customHeight="true" outlineLevel="0" collapsed="false">
      <c r="B9" s="67" t="n">
        <v>4</v>
      </c>
      <c r="C9" s="66" t="s">
        <v>179</v>
      </c>
      <c r="D9" s="57" t="n">
        <v>120000</v>
      </c>
      <c r="E9" s="26" t="n">
        <f aca="false">'LKW-Kostenkalkulation'!D30</f>
        <v>103842.666666667</v>
      </c>
      <c r="F9" s="25" t="n">
        <f aca="false">'LKW-Kostenkalkulation'!C52</f>
        <v>0.77568</v>
      </c>
      <c r="G9" s="26" t="n">
        <f aca="false">D9*F9</f>
        <v>93081.6</v>
      </c>
      <c r="H9" s="26" t="n">
        <f aca="false">E9+G9</f>
        <v>196924.266666667</v>
      </c>
      <c r="I9" s="25" t="n">
        <f aca="false">IF(D9&gt;0,H9/D9,0)</f>
        <v>1.64103555555556</v>
      </c>
      <c r="J9" s="10" t="n">
        <v>0.77</v>
      </c>
    </row>
    <row r="10" customFormat="false" ht="18" hidden="false" customHeight="true" outlineLevel="0" collapsed="false">
      <c r="B10" s="65" t="n">
        <v>5</v>
      </c>
      <c r="C10" s="66" t="s">
        <v>180</v>
      </c>
      <c r="D10" s="57" t="n">
        <v>120000</v>
      </c>
      <c r="E10" s="24" t="n">
        <f aca="false">'LKW-Kostenkalkulation'!D30</f>
        <v>103842.666666667</v>
      </c>
      <c r="F10" s="23" t="n">
        <f aca="false">'LKW-Kostenkalkulation'!C52</f>
        <v>0.77568</v>
      </c>
      <c r="G10" s="24" t="n">
        <f aca="false">D10*F10</f>
        <v>93081.6</v>
      </c>
      <c r="H10" s="24" t="n">
        <f aca="false">E10+G10</f>
        <v>196924.266666667</v>
      </c>
      <c r="I10" s="23" t="n">
        <f aca="false">IF(D10&gt;0,H10/D10,0)</f>
        <v>1.64103555555556</v>
      </c>
      <c r="J10" s="10" t="n">
        <v>0.76</v>
      </c>
    </row>
    <row r="11" customFormat="false" ht="18" hidden="false" customHeight="true" outlineLevel="0" collapsed="false">
      <c r="B11" s="67" t="n">
        <v>6</v>
      </c>
      <c r="C11" s="66" t="s">
        <v>181</v>
      </c>
      <c r="D11" s="57" t="n">
        <v>120000</v>
      </c>
      <c r="E11" s="26" t="n">
        <f aca="false">'LKW-Kostenkalkulation'!D30</f>
        <v>103842.666666667</v>
      </c>
      <c r="F11" s="25" t="n">
        <f aca="false">'LKW-Kostenkalkulation'!C52</f>
        <v>0.77568</v>
      </c>
      <c r="G11" s="26" t="n">
        <f aca="false">D11*F11</f>
        <v>93081.6</v>
      </c>
      <c r="H11" s="26" t="n">
        <f aca="false">E11+G11</f>
        <v>196924.266666667</v>
      </c>
      <c r="I11" s="25" t="n">
        <f aca="false">IF(D11&gt;0,H11/D11,0)</f>
        <v>1.64103555555556</v>
      </c>
      <c r="J11" s="10" t="n">
        <v>0.75</v>
      </c>
    </row>
    <row r="12" customFormat="false" ht="18" hidden="false" customHeight="true" outlineLevel="0" collapsed="false">
      <c r="B12" s="65" t="n">
        <v>7</v>
      </c>
      <c r="C12" s="66" t="s">
        <v>182</v>
      </c>
      <c r="D12" s="57" t="n">
        <v>120000</v>
      </c>
      <c r="E12" s="24" t="n">
        <f aca="false">'LKW-Kostenkalkulation'!D30</f>
        <v>103842.666666667</v>
      </c>
      <c r="F12" s="23" t="n">
        <f aca="false">'LKW-Kostenkalkulation'!C52</f>
        <v>0.77568</v>
      </c>
      <c r="G12" s="24" t="n">
        <f aca="false">D12*F12</f>
        <v>93081.6</v>
      </c>
      <c r="H12" s="24" t="n">
        <f aca="false">E12+G12</f>
        <v>196924.266666667</v>
      </c>
      <c r="I12" s="23" t="n">
        <f aca="false">IF(D12&gt;0,H12/D12,0)</f>
        <v>1.64103555555556</v>
      </c>
      <c r="J12" s="10" t="n">
        <v>0.74</v>
      </c>
    </row>
    <row r="13" customFormat="false" ht="18" hidden="false" customHeight="true" outlineLevel="0" collapsed="false">
      <c r="B13" s="67" t="n">
        <v>8</v>
      </c>
      <c r="C13" s="66" t="s">
        <v>183</v>
      </c>
      <c r="D13" s="57" t="n">
        <v>120000</v>
      </c>
      <c r="E13" s="26" t="n">
        <f aca="false">'LKW-Kostenkalkulation'!D30</f>
        <v>103842.666666667</v>
      </c>
      <c r="F13" s="25" t="n">
        <f aca="false">'LKW-Kostenkalkulation'!C52</f>
        <v>0.77568</v>
      </c>
      <c r="G13" s="26" t="n">
        <f aca="false">D13*F13</f>
        <v>93081.6</v>
      </c>
      <c r="H13" s="26" t="n">
        <f aca="false">E13+G13</f>
        <v>196924.266666667</v>
      </c>
      <c r="I13" s="25" t="n">
        <f aca="false">IF(D13&gt;0,H13/D13,0)</f>
        <v>1.64103555555556</v>
      </c>
      <c r="J13" s="10" t="n">
        <v>0.73</v>
      </c>
    </row>
    <row r="14" customFormat="false" ht="18" hidden="false" customHeight="true" outlineLevel="0" collapsed="false">
      <c r="B14" s="65" t="n">
        <v>9</v>
      </c>
      <c r="C14" s="66" t="s">
        <v>184</v>
      </c>
      <c r="D14" s="57" t="n">
        <v>120000</v>
      </c>
      <c r="E14" s="24" t="n">
        <f aca="false">'LKW-Kostenkalkulation'!D30</f>
        <v>103842.666666667</v>
      </c>
      <c r="F14" s="23" t="n">
        <f aca="false">'LKW-Kostenkalkulation'!C52</f>
        <v>0.77568</v>
      </c>
      <c r="G14" s="24" t="n">
        <f aca="false">D14*F14</f>
        <v>93081.6</v>
      </c>
      <c r="H14" s="24" t="n">
        <f aca="false">E14+G14</f>
        <v>196924.266666667</v>
      </c>
      <c r="I14" s="23" t="n">
        <f aca="false">IF(D14&gt;0,H14/D14,0)</f>
        <v>1.64103555555556</v>
      </c>
      <c r="J14" s="10" t="n">
        <v>0.72</v>
      </c>
    </row>
    <row r="15" customFormat="false" ht="18" hidden="false" customHeight="true" outlineLevel="0" collapsed="false">
      <c r="B15" s="67" t="n">
        <v>10</v>
      </c>
      <c r="C15" s="66" t="s">
        <v>185</v>
      </c>
      <c r="D15" s="57" t="n">
        <v>120000</v>
      </c>
      <c r="E15" s="26" t="n">
        <f aca="false">'LKW-Kostenkalkulation'!D30</f>
        <v>103842.666666667</v>
      </c>
      <c r="F15" s="25" t="n">
        <f aca="false">'LKW-Kostenkalkulation'!C52</f>
        <v>0.77568</v>
      </c>
      <c r="G15" s="26" t="n">
        <f aca="false">D15*F15</f>
        <v>93081.6</v>
      </c>
      <c r="H15" s="26" t="n">
        <f aca="false">E15+G15</f>
        <v>196924.266666667</v>
      </c>
      <c r="I15" s="25" t="n">
        <f aca="false">IF(D15&gt;0,H15/D15,0)</f>
        <v>1.64103555555556</v>
      </c>
      <c r="J15" s="10" t="n">
        <v>0.71</v>
      </c>
    </row>
    <row r="16" customFormat="false" ht="21.75" hidden="false" customHeight="true" outlineLevel="0" collapsed="false">
      <c r="B16" s="68"/>
      <c r="C16" s="69" t="s">
        <v>186</v>
      </c>
      <c r="D16" s="69"/>
      <c r="E16" s="70" t="n">
        <f aca="false">SUM(E6:E15)</f>
        <v>1038426.66666667</v>
      </c>
      <c r="F16" s="68"/>
      <c r="G16" s="70" t="n">
        <f aca="false">SUM(G6:G15)</f>
        <v>930816</v>
      </c>
      <c r="H16" s="70" t="n">
        <f aca="false">SUM(H6:H15)</f>
        <v>1969242.66666667</v>
      </c>
      <c r="I16" s="71" t="n">
        <f aca="false">AVERAGE(I6:I15)</f>
        <v>1.64103555555556</v>
      </c>
      <c r="J16" s="72" t="n">
        <f aca="false">AVERAGE(J6:J15)</f>
        <v>0.755</v>
      </c>
    </row>
  </sheetData>
  <mergeCells count="3">
    <mergeCell ref="B2:J2"/>
    <mergeCell ref="B3:J3"/>
    <mergeCell ref="C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2026-04-16T08:40:47Z</dcterms:created>
  <dc:creator>openpyxl</dc:creator>
  <dc:description/>
  <dc:language>en-US</dc:language>
  <cp:lastModifiedBy/>
  <dcterms:modified xsi:type="dcterms:W3CDTF">2026-04-16T08:40:47Z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