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V-Rechner" sheetId="1" state="visible" r:id="rId2"/>
    <sheet name="Jahresprojektion" sheetId="2" state="visible" r:id="rId3"/>
    <sheet name="Szenarien" sheetId="3" state="visible" r:id="rId4"/>
    <sheet name="Referenz &amp; Tipp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8" authorId="0">
      <text>
        <r>
          <rPr>
            <sz val="11"/>
            <color rgb="FF000000"/>
            <rFont val="Calibri"/>
            <family val="2"/>
            <charset val="1"/>
          </rPr>
          <t xml:space="preserve">kWp – Kilowatt-Peak Nennleistung</t>
        </r>
      </text>
    </comment>
    <comment ref="C9" authorId="0">
      <text>
        <r>
          <rPr>
            <sz val="11"/>
            <color rgb="FF000000"/>
            <rFont val="Calibri"/>
            <family val="2"/>
            <charset val="1"/>
          </rPr>
          <t xml:space="preserve">Standortabhängig: Kiel ~900 / DE-Schnitt ~950 / Freiburg ~1.150</t>
        </r>
      </text>
    </comment>
    <comment ref="C10" authorId="0">
      <text>
        <r>
          <rPr>
            <sz val="11"/>
            <color rgb="FF000000"/>
            <rFont val="Calibri"/>
            <family val="2"/>
            <charset val="1"/>
          </rPr>
          <t xml:space="preserve">Ohne Speicher ~25-35%; mit Speicher ~60-80%</t>
        </r>
      </text>
    </comment>
    <comment ref="C11" authorId="0">
      <text>
        <r>
          <rPr>
            <sz val="11"/>
            <color rgb="FF000000"/>
            <rFont val="Calibri"/>
            <family val="2"/>
            <charset val="1"/>
          </rPr>
          <t xml:space="preserve">Moderne Module: 18-22%</t>
        </r>
      </text>
    </comment>
    <comment ref="C12" authorId="0">
      <text>
        <r>
          <rPr>
            <sz val="11"/>
            <color rgb="FF000000"/>
            <rFont val="Calibri"/>
            <family val="2"/>
            <charset val="1"/>
          </rPr>
          <t xml:space="preserve">Verluste Wechselrichter, Kabel, Verschattung</t>
        </r>
      </text>
    </comment>
    <comment ref="C14" authorId="0">
      <text>
        <r>
          <rPr>
            <sz val="11"/>
            <color rgb="FF000000"/>
            <rFont val="Calibri"/>
            <family val="2"/>
            <charset val="1"/>
          </rPr>
          <t xml:space="preserve">Anlage inkl. Montage, ohne Speicher</t>
        </r>
      </text>
    </comment>
    <comment ref="C15" authorId="0">
      <text>
        <r>
          <rPr>
            <sz val="11"/>
            <color rgb="FF000000"/>
            <rFont val="Calibri"/>
            <family val="2"/>
            <charset val="1"/>
          </rPr>
          <t xml:space="preserve">Optional; 0 = kein Speicher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 xml:space="preserve">Versicherung, Wartung, Zählermiete ~1-1,5%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 xml:space="preserve">Haushaltsstrompreis 2026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 xml:space="preserve">Teileinspeisung bis 10 kWp, ab Feb 2026</t>
        </r>
      </text>
    </comment>
    <comment ref="C20" authorId="0">
      <text>
        <r>
          <rPr>
            <sz val="11"/>
            <color rgb="FF000000"/>
            <rFont val="Calibri"/>
            <family val="2"/>
            <charset val="1"/>
          </rPr>
          <t xml:space="preserve">Annahme jährliche Preissteigerung</t>
        </r>
      </text>
    </comment>
    <comment ref="C22" authorId="0">
      <text>
        <r>
          <rPr>
            <sz val="11"/>
            <color rgb="FF000000"/>
            <rFont val="Calibri"/>
            <family val="2"/>
            <charset val="1"/>
          </rPr>
          <t xml:space="preserve">Typisch: 4-Personen-HH 4.000-5.000 kWh</t>
        </r>
      </text>
    </comment>
    <comment ref="C23" authorId="0">
      <text>
        <r>
          <rPr>
            <sz val="11"/>
            <color rgb="FF000000"/>
            <rFont val="Calibri"/>
            <family val="2"/>
            <charset val="1"/>
          </rPr>
          <t xml:space="preserve">Staatliche Förderung, Zuschüsse</t>
        </r>
      </text>
    </comment>
    <comment ref="C25" authorId="0">
      <text>
        <r>
          <rPr>
            <sz val="11"/>
            <color rgb="FF000000"/>
            <rFont val="Calibri"/>
            <family val="2"/>
            <charset val="1"/>
          </rPr>
          <t xml:space="preserve">Typisch 25-30 Jahre</t>
        </r>
      </text>
    </comment>
    <comment ref="C26" authorId="0">
      <text>
        <r>
          <rPr>
            <sz val="11"/>
            <color rgb="FF000000"/>
            <rFont val="Calibri"/>
            <family val="2"/>
            <charset val="1"/>
          </rPr>
          <t xml:space="preserve">Jährlicher Leistungsrückgang ~0,5%</t>
        </r>
      </text>
    </comment>
  </commentList>
</comments>
</file>

<file path=xl/sharedStrings.xml><?xml version="1.0" encoding="utf-8"?>
<sst xmlns="http://schemas.openxmlformats.org/spreadsheetml/2006/main" count="119" uniqueCount="115">
  <si>
    <t xml:space="preserve">⚡  PV-WIRTSCHAFTLICHKEITSRECHNER 2026</t>
  </si>
  <si>
    <t xml:space="preserve">Photovoltaik-Anlage planen · Wirtschaftlichkeit berechnen · Amortisation ermitteln</t>
  </si>
  <si>
    <t xml:space="preserve">📥  EINGABEPARAMETER</t>
  </si>
  <si>
    <t xml:space="preserve">📊  BERECHNUNGSERGEBNISSE</t>
  </si>
  <si>
    <t xml:space="preserve">Parameter</t>
  </si>
  <si>
    <t xml:space="preserve">Wert</t>
  </si>
  <si>
    <t xml:space="preserve">Kennzahl</t>
  </si>
  <si>
    <t xml:space="preserve">──── Anlagendaten ────</t>
  </si>
  <si>
    <t xml:space="preserve">──── Energie (jährlich) ────</t>
  </si>
  <si>
    <t xml:space="preserve">Anlagengröße</t>
  </si>
  <si>
    <t xml:space="preserve">Jährl. Stromproduktion</t>
  </si>
  <si>
    <t xml:space="preserve">Spez. Jahresertrag</t>
  </si>
  <si>
    <t xml:space="preserve">Davon Eigenverbrauch</t>
  </si>
  <si>
    <t xml:space="preserve">Eigenverbrauchsquote</t>
  </si>
  <si>
    <t xml:space="preserve">Davon Einspeisung ins Netz</t>
  </si>
  <si>
    <t xml:space="preserve">Modulwirkungsgrad</t>
  </si>
  <si>
    <t xml:space="preserve">Eigenverbrauchsquote (eff.)</t>
  </si>
  <si>
    <t xml:space="preserve">Systemwirkungsgrad</t>
  </si>
  <si>
    <t xml:space="preserve">Autarkiequote</t>
  </si>
  <si>
    <t xml:space="preserve">──── Kosten ────</t>
  </si>
  <si>
    <t xml:space="preserve">──── Finanzen (jährlich) ────</t>
  </si>
  <si>
    <t xml:space="preserve">Investitionskosten</t>
  </si>
  <si>
    <t xml:space="preserve">Ersparnis Eigenverbrauch</t>
  </si>
  <si>
    <t xml:space="preserve">Batteriespeicher (opt.)</t>
  </si>
  <si>
    <t xml:space="preserve">Einnahmen Einspeisung</t>
  </si>
  <si>
    <t xml:space="preserve">Jährl. Betriebskosten</t>
  </si>
  <si>
    <t xml:space="preserve">Brutto-Jahresnutzen</t>
  </si>
  <si>
    <t xml:space="preserve">──── Preise &amp; Vergütung ────</t>
  </si>
  <si>
    <t xml:space="preserve">Jährl. Betriebskosten (€)</t>
  </si>
  <si>
    <t xml:space="preserve">Strompreis (Bezug)</t>
  </si>
  <si>
    <t xml:space="preserve">Netto-Jahresnutzen</t>
  </si>
  <si>
    <t xml:space="preserve">Einspeisevergütung</t>
  </si>
  <si>
    <t xml:space="preserve">──── Investition ────</t>
  </si>
  <si>
    <t xml:space="preserve">Strompreisanstieg p.a.</t>
  </si>
  <si>
    <t xml:space="preserve">Gesamtinvestition (inkl. Speicher)</t>
  </si>
  <si>
    <t xml:space="preserve">──── Haushalt ────</t>
  </si>
  <si>
    <t xml:space="preserve">Abzgl. Fördermittel</t>
  </si>
  <si>
    <t xml:space="preserve">Jahresstromverbrauch</t>
  </si>
  <si>
    <t xml:space="preserve">Netto-Investition</t>
  </si>
  <si>
    <t xml:space="preserve">Förderbetrag (KfW etc.)</t>
  </si>
  <si>
    <t xml:space="preserve">──── Rendite ────</t>
  </si>
  <si>
    <t xml:space="preserve">──── Anlagelebenszeit ────</t>
  </si>
  <si>
    <t xml:space="preserve">🏆  Amortisationszeit</t>
  </si>
  <si>
    <t xml:space="preserve">Anlagenlebensdauer</t>
  </si>
  <si>
    <t xml:space="preserve">Jährl. Rendite (ROI)</t>
  </si>
  <si>
    <t xml:space="preserve">Leistungsdegradation p.a.</t>
  </si>
  <si>
    <t xml:space="preserve">Gesamtnutzen (Lebensdauer)</t>
  </si>
  <si>
    <t xml:space="preserve">Gesamtrendite (Lebensdauer)</t>
  </si>
  <si>
    <t xml:space="preserve">Einspeisevergütung Feb–Jul 2026</t>
  </si>
  <si>
    <t xml:space="preserve">Teileins.  |  Volleins.</t>
  </si>
  <si>
    <t xml:space="preserve">bis 10 kWp</t>
  </si>
  <si>
    <t xml:space="preserve">7,78 ct  |  12,35 ct</t>
  </si>
  <si>
    <t xml:space="preserve">10 – 40 kWp</t>
  </si>
  <si>
    <t xml:space="preserve">6,73 ct  |  10,35 ct</t>
  </si>
  <si>
    <t xml:space="preserve">⚠️  Vergütung wird halbjährlich um 1% gesenkt (nächste Senkung: 01.08.2026). Die festgelegte Vergütung gilt 20 Jahre lang.</t>
  </si>
  <si>
    <t xml:space="preserve">📐  AMORTISATIONSFORMEL</t>
  </si>
  <si>
    <t xml:space="preserve">Amortisationszeit  =  Netto-Investition  ÷  (Eigenverbrauch × Strompreis  +  Einspeisung × Vergütung  −  Betriebskosten)</t>
  </si>
  <si>
    <t xml:space="preserve">Beispiel 2026: Netto-Invest.  →  Eingabe oben  |  Eigenverbrauch × 0,32 €  +  Einspeisung × 0,0778 €  −  Betriebskosten  =  Netto-Jahresnutzen</t>
  </si>
  <si>
    <t xml:space="preserve">📅  JAHRESPROJEKTION – 25 JAHRE CASHFLOW</t>
  </si>
  <si>
    <t xml:space="preserve">Alle Formeln beziehen sich auf die Eingaben im Blatt 'PV-Rechner'</t>
  </si>
  <si>
    <t xml:space="preserve">Jahr</t>
  </si>
  <si>
    <t xml:space="preserve">Kalender-
jahr</t>
  </si>
  <si>
    <t xml:space="preserve">Jährl. Ertrag
(kWh)</t>
  </si>
  <si>
    <t xml:space="preserve">Eigenverbrauch
(kWh)</t>
  </si>
  <si>
    <t xml:space="preserve">Einspeisung
(kWh)</t>
  </si>
  <si>
    <t xml:space="preserve">Strompreis
(€/kWh)</t>
  </si>
  <si>
    <t xml:space="preserve">Ersparnis EV
(€)</t>
  </si>
  <si>
    <t xml:space="preserve">Vergütung
(€)</t>
  </si>
  <si>
    <t xml:space="preserve">Betriebskosten
(€)</t>
  </si>
  <si>
    <t xml:space="preserve">Netto-Nutzen
(€)</t>
  </si>
  <si>
    <t xml:space="preserve">Kumulierter
Nutzen (€)</t>
  </si>
  <si>
    <t xml:space="preserve">SUMME</t>
  </si>
  <si>
    <t xml:space="preserve">Gesamtnutzen über 25 Jahre:</t>
  </si>
  <si>
    <t xml:space="preserve">🔀  SZENARIEN-VERGLEICH – 3 KONFIGURATIONEN</t>
  </si>
  <si>
    <t xml:space="preserve">Vergleichen Sie drei verschiedene Anlagenszenarien nebeneinander</t>
  </si>
  <si>
    <t xml:space="preserve">Parameter / Kennzahl</t>
  </si>
  <si>
    <t xml:space="preserve">Szenario A
Klein (5 kWp)</t>
  </si>
  <si>
    <t xml:space="preserve">Szenario B
Mittel (10 kWp)</t>
  </si>
  <si>
    <t xml:space="preserve">Szenario C
Groß (15 kWp)</t>
  </si>
  <si>
    <t xml:space="preserve">── EINGABEN ──</t>
  </si>
  <si>
    <t xml:space="preserve">Anlagengröße (kWp)</t>
  </si>
  <si>
    <t xml:space="preserve">Investition (€)</t>
  </si>
  <si>
    <t xml:space="preserve">Batteriespeicher (€)</t>
  </si>
  <si>
    <t xml:space="preserve">Spez. Ertrag (kWh/kWp)</t>
  </si>
  <si>
    <t xml:space="preserve">Strompreis (€/kWh)</t>
  </si>
  <si>
    <t xml:space="preserve">Einspeisevergütung (€/kWh)</t>
  </si>
  <si>
    <t xml:space="preserve">Betriebskosten (% p.a.)</t>
  </si>
  <si>
    <t xml:space="preserve">Jahresstromverbrauch (kWh)</t>
  </si>
  <si>
    <t xml:space="preserve">── ERGEBNISSE ──</t>
  </si>
  <si>
    <t xml:space="preserve">Jährl. Stromproduktion (kWh)</t>
  </si>
  <si>
    <t xml:space="preserve">Eigenverbrauch (kWh)</t>
  </si>
  <si>
    <t xml:space="preserve">Einspeisung (kWh)</t>
  </si>
  <si>
    <t xml:space="preserve">Ersparnis Eigenverbrauch (€)</t>
  </si>
  <si>
    <t xml:space="preserve">Einnahmen Einspeisung (€)</t>
  </si>
  <si>
    <t xml:space="preserve">Betriebskosten (€/Jahr)</t>
  </si>
  <si>
    <t xml:space="preserve">Netto-Jahresnutzen (€)</t>
  </si>
  <si>
    <t xml:space="preserve">Gesamtinvestition (€)</t>
  </si>
  <si>
    <t xml:space="preserve">Amortisationszeit (Jahre)</t>
  </si>
  <si>
    <t xml:space="preserve">Jährl. Rendite (%)</t>
  </si>
  <si>
    <t xml:space="preserve">Kumulierter Nutzen 25 J. (€)</t>
  </si>
  <si>
    <t xml:space="preserve">📋  REFERENZ, TIPPS &amp; HINWEISE 2026</t>
  </si>
  <si>
    <t xml:space="preserve">🔆 Einspeisevergütung 2026 (gültig Feb–Jul 2026)</t>
  </si>
  <si>
    <t xml:space="preserve">Hinweis:</t>
  </si>
  <si>
    <t xml:space="preserve">Halbjährlich –1%; Festpreis für 20 Jahre nach Inbetriebnahme</t>
  </si>
  <si>
    <t xml:space="preserve">🏠 Typische Kennwerte</t>
  </si>
  <si>
    <t xml:space="preserve">25–30 Jahre</t>
  </si>
  <si>
    <t xml:space="preserve">⚡ Strompreis 2026</t>
  </si>
  <si>
    <t xml:space="preserve">Annahme Strompreisanstieg p.a.</t>
  </si>
  <si>
    <t xml:space="preserve">~2%</t>
  </si>
  <si>
    <t xml:space="preserve">📅 Neue Regelungen 2026</t>
  </si>
  <si>
    <t xml:space="preserve">MwSt. auf PV-Anlagen</t>
  </si>
  <si>
    <t xml:space="preserve">0% (seit 2023)</t>
  </si>
  <si>
    <t xml:space="preserve">💡 Tipps für optimale Nutzung</t>
  </si>
  <si>
    <t xml:space="preserve">Wechselrichter-Lebensdauer</t>
  </si>
  <si>
    <t xml:space="preserve">Ca. 10–15 Jahre; Austauschkosten einplanen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</si>
</sst>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0.0&quot; kWp&quot;"/>
    <numFmt numFmtId="166" formatCode="#,##0&quot; kWh&quot;"/>
    <numFmt numFmtId="167" formatCode="0&quot; kWh/kWp&quot;"/>
    <numFmt numFmtId="168" formatCode="0%"/>
    <numFmt numFmtId="169" formatCode="0.0%"/>
    <numFmt numFmtId="170" formatCode="\€#,##0"/>
    <numFmt numFmtId="171" formatCode="&quot;€ &quot;#,##0"/>
    <numFmt numFmtId="172" formatCode="0.0%&quot; der Invest.&quot;"/>
    <numFmt numFmtId="173" formatCode="&quot;€ &quot;0.00&quot; /kWh&quot;"/>
    <numFmt numFmtId="174" formatCode="&quot;€ &quot;0.0000&quot; /kWh&quot;"/>
    <numFmt numFmtId="175" formatCode="0.0&quot; Jahre&quot;"/>
    <numFmt numFmtId="176" formatCode="0&quot; Jahre&quot;"/>
    <numFmt numFmtId="177" formatCode="0.0\x"/>
    <numFmt numFmtId="178" formatCode="0"/>
    <numFmt numFmtId="179" formatCode="&quot;€ &quot;0.0000"/>
    <numFmt numFmtId="180" formatCode="&quot;€ &quot;0.00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94A3B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475569"/>
      <name val="Arial"/>
      <family val="0"/>
      <charset val="1"/>
    </font>
    <font>
      <b val="true"/>
      <i val="true"/>
      <sz val="9"/>
      <color rgb="FF64748B"/>
      <name val="Arial"/>
      <family val="0"/>
      <charset val="1"/>
    </font>
    <font>
      <sz val="10"/>
      <color rgb="FF334155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9A3412"/>
      <name val="Arial"/>
      <family val="0"/>
      <charset val="1"/>
    </font>
    <font>
      <sz val="10"/>
      <color rgb="FF1E40AF"/>
      <name val="Arial"/>
      <family val="0"/>
      <charset val="1"/>
    </font>
    <font>
      <i val="true"/>
      <sz val="9"/>
      <color rgb="FF47556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475569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1E293B"/>
        <bgColor rgb="FF334155"/>
      </patternFill>
    </fill>
    <fill>
      <patternFill patternType="solid">
        <fgColor rgb="FF334155"/>
        <bgColor rgb="FF475569"/>
      </patternFill>
    </fill>
    <fill>
      <patternFill patternType="solid">
        <fgColor rgb="FF107C41"/>
        <bgColor rgb="FF008000"/>
      </patternFill>
    </fill>
    <fill>
      <patternFill patternType="solid">
        <fgColor rgb="FF1E40AF"/>
        <bgColor rgb="FF334155"/>
      </patternFill>
    </fill>
    <fill>
      <patternFill patternType="solid">
        <fgColor rgb="FFE2E8F0"/>
        <bgColor rgb="FFEFF6FF"/>
      </patternFill>
    </fill>
    <fill>
      <patternFill patternType="solid">
        <fgColor rgb="FFF8FAFC"/>
        <bgColor rgb="FFFFFFFF"/>
      </patternFill>
    </fill>
    <fill>
      <patternFill patternType="solid">
        <fgColor rgb="FFFFFBEB"/>
        <bgColor rgb="FFFFF7ED"/>
      </patternFill>
    </fill>
    <fill>
      <patternFill patternType="solid">
        <fgColor rgb="FFF0FDF4"/>
        <bgColor rgb="FFF8FAFC"/>
      </patternFill>
    </fill>
    <fill>
      <patternFill patternType="solid">
        <fgColor rgb="FF10B981"/>
        <bgColor rgb="FF059669"/>
      </patternFill>
    </fill>
    <fill>
      <patternFill patternType="solid">
        <fgColor rgb="FFFFF7ED"/>
        <bgColor rgb="FFFFFBEB"/>
      </patternFill>
    </fill>
    <fill>
      <patternFill patternType="solid">
        <fgColor rgb="FFEFF6FF"/>
        <bgColor rgb="FFF8FAFC"/>
      </patternFill>
    </fill>
    <fill>
      <patternFill patternType="solid">
        <fgColor rgb="FFFEE2E2"/>
        <bgColor rgb="FFFFF7ED"/>
      </patternFill>
    </fill>
    <fill>
      <patternFill patternType="solid">
        <fgColor rgb="FFFFFFFF"/>
        <bgColor rgb="FFF8FAFC"/>
      </patternFill>
    </fill>
    <fill>
      <patternFill patternType="solid">
        <fgColor rgb="FFD1FAE5"/>
        <bgColor rgb="FFE2E8F0"/>
      </patternFill>
    </fill>
    <fill>
      <patternFill patternType="solid">
        <fgColor rgb="FF2563EB"/>
        <bgColor rgb="FF3B82F6"/>
      </patternFill>
    </fill>
    <fill>
      <patternFill patternType="solid">
        <fgColor rgb="FF059669"/>
        <bgColor rgb="FF107C41"/>
      </patternFill>
    </fill>
    <fill>
      <patternFill patternType="solid">
        <fgColor rgb="FF7C3AED"/>
        <bgColor rgb="FF993366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1E293B"/>
      </left>
      <right/>
      <top style="medium">
        <color rgb="FF1E293B"/>
      </top>
      <bottom style="medium">
        <color rgb="FF1E293B"/>
      </bottom>
      <diagonal/>
    </border>
    <border diagonalUp="false" diagonalDown="false">
      <left style="thin">
        <color rgb="FF107C41"/>
      </left>
      <right/>
      <top style="thin">
        <color rgb="FF107C41"/>
      </top>
      <bottom style="thin">
        <color rgb="FF107C41"/>
      </bottom>
      <diagonal/>
    </border>
    <border diagonalUp="false" diagonalDown="false">
      <left style="thin">
        <color rgb="FF1E40AF"/>
      </left>
      <right/>
      <top style="thin">
        <color rgb="FF1E40AF"/>
      </top>
      <bottom style="thin">
        <color rgb="FF1E40AF"/>
      </bottom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  <border diagonalUp="false" diagonalDown="false">
      <left style="thin">
        <color rgb="FF10B981"/>
      </left>
      <right style="thin">
        <color rgb="FF10B981"/>
      </right>
      <top style="thin">
        <color rgb="FF10B981"/>
      </top>
      <bottom style="thin">
        <color rgb="FF10B981"/>
      </bottom>
      <diagonal/>
    </border>
    <border diagonalUp="false" diagonalDown="false">
      <left style="thin">
        <color rgb="FF1E293B"/>
      </left>
      <right/>
      <top style="thin">
        <color rgb="FF1E293B"/>
      </top>
      <bottom style="thin">
        <color rgb="FF1E293B"/>
      </bottom>
      <diagonal/>
    </border>
    <border diagonalUp="false" diagonalDown="false">
      <left style="thin">
        <color rgb="FFF97316"/>
      </left>
      <right/>
      <top style="thin">
        <color rgb="FFF97316"/>
      </top>
      <bottom style="thin">
        <color rgb="FFF97316"/>
      </bottom>
      <diagonal/>
    </border>
    <border diagonalUp="false" diagonalDown="false">
      <left style="thin">
        <color rgb="FF3B82F6"/>
      </left>
      <right/>
      <top style="thin">
        <color rgb="FF3B82F6"/>
      </top>
      <bottom style="thin">
        <color rgb="FF3B82F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2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1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0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2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0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21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1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D9D9D9"/>
      <rgbColor rgb="FF878787"/>
      <rgbColor rgb="FF4A7EBB"/>
      <rgbColor rgb="FF7C3AED"/>
      <rgbColor rgb="FFFFFBEB"/>
      <rgbColor rgb="FFF0FDF4"/>
      <rgbColor rgb="FF660066"/>
      <rgbColor rgb="FFFF8080"/>
      <rgbColor rgb="FF3B82F6"/>
      <rgbColor rgb="FFCBD5E1"/>
      <rgbColor rgb="FF000080"/>
      <rgbColor rgb="FFFF00FF"/>
      <rgbColor rgb="FFFFFF00"/>
      <rgbColor rgb="FF00FFFF"/>
      <rgbColor rgb="FF800080"/>
      <rgbColor rgb="FF800000"/>
      <rgbColor rgb="FF107C41"/>
      <rgbColor rgb="FF0000FF"/>
      <rgbColor rgb="FF00CCFF"/>
      <rgbColor rgb="FFEFF6FF"/>
      <rgbColor rgb="FFD1FAE5"/>
      <rgbColor rgb="FFFFF7ED"/>
      <rgbColor rgb="FFE2E8F0"/>
      <rgbColor rgb="FFF8FAFC"/>
      <rgbColor rgb="FFCC99FF"/>
      <rgbColor rgb="FFFEE2E2"/>
      <rgbColor rgb="FF2563EB"/>
      <rgbColor rgb="FF33CCCC"/>
      <rgbColor rgb="FF99CC00"/>
      <rgbColor rgb="FFFFCC00"/>
      <rgbColor rgb="FFFF9900"/>
      <rgbColor rgb="FFF97316"/>
      <rgbColor rgb="FF64748B"/>
      <rgbColor rgb="FF94A3B8"/>
      <rgbColor rgb="FF475569"/>
      <rgbColor rgb="FF10B981"/>
      <rgbColor rgb="FF003300"/>
      <rgbColor rgb="FF334155"/>
      <rgbColor rgb="FF9A3412"/>
      <rgbColor rgb="FF993366"/>
      <rgbColor rgb="FF1E40AF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Kumulierter Nutzen (€) – 25-Jahre-Cashflow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Jahresprojektion!L4</c:f>
              <c:strCache>
                <c:ptCount val="1"/>
                <c:pt idx="0">
                  <c:v>Kumulierter
Nutzen (€)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Jahresprojektion!$B$5:$B$29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strCache>
            </c:strRef>
          </c:cat>
          <c:val>
            <c:numRef>
              <c:f>Jahresprojektion!$L$5:$L$29</c:f>
              <c:numCache>
                <c:formatCode>General</c:formatCode>
                <c:ptCount val="25"/>
                <c:pt idx="0">
                  <c:v>-19630.36425</c:v>
                </c:pt>
                <c:pt idx="1">
                  <c:v>-18246.60439875</c:v>
                </c:pt>
                <c:pt idx="2">
                  <c:v>-16848.4598057843</c:v>
                </c:pt>
                <c:pt idx="3">
                  <c:v>-15435.6661980508</c:v>
                </c:pt>
                <c:pt idx="4">
                  <c:v>-14007.9556145314</c:v>
                </c:pt>
                <c:pt idx="5">
                  <c:v>-12565.0563500419</c:v>
                </c:pt>
                <c:pt idx="6">
                  <c:v>-11106.6928982022</c:v>
                </c:pt>
                <c:pt idx="7">
                  <c:v>-9632.58589356238</c:v>
                </c:pt>
                <c:pt idx="8">
                  <c:v>-8142.45205287255</c:v>
                </c:pt>
                <c:pt idx="9">
                  <c:v>-6636.00411548395</c:v>
                </c:pt>
                <c:pt idx="10">
                  <c:v>-5112.95078286814</c:v>
                </c:pt>
                <c:pt idx="11">
                  <c:v>-3572.99665724105</c:v>
                </c:pt>
                <c:pt idx="12">
                  <c:v>-2015.84217927856</c:v>
                </c:pt>
                <c:pt idx="13">
                  <c:v>-441.183564910217</c:v>
                </c:pt>
                <c:pt idx="14">
                  <c:v>1151.28725882302</c:v>
                </c:pt>
                <c:pt idx="15">
                  <c:v>2761.88271886063</c:v>
                </c:pt>
                <c:pt idx="16">
                  <c:v>4390.9196621784</c:v>
                </c:pt>
                <c:pt idx="17">
                  <c:v>6038.71942282256</c:v>
                </c:pt>
                <c:pt idx="18">
                  <c:v>7705.60788993694</c:v>
                </c:pt>
                <c:pt idx="19">
                  <c:v>9391.91557679775</c:v>
                </c:pt>
                <c:pt idx="20">
                  <c:v>11097.9776908713</c:v>
                </c:pt>
                <c:pt idx="21">
                  <c:v>12824.1342049096</c:v>
                </c:pt>
                <c:pt idx="22">
                  <c:v>14570.7299290999</c:v>
                </c:pt>
                <c:pt idx="23">
                  <c:v>16338.1145842829</c:v>
                </c:pt>
                <c:pt idx="24">
                  <c:v>18126.642876257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8117987"/>
        <c:axId val="94159488"/>
      </c:lineChart>
      <c:catAx>
        <c:axId val="781179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159488"/>
        <c:crosses val="autoZero"/>
        <c:auto val="1"/>
        <c:lblAlgn val="ctr"/>
        <c:lblOffset val="100"/>
        <c:noMultiLvlLbl val="0"/>
      </c:catAx>
      <c:valAx>
        <c:axId val="941594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Kumulierter Nutzen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11798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31</xdr:row>
      <xdr:rowOff>0</xdr:rowOff>
    </xdr:from>
    <xdr:to>
      <xdr:col>6</xdr:col>
      <xdr:colOff>96480</xdr:colOff>
      <xdr:row>53</xdr:row>
      <xdr:rowOff>128520</xdr:rowOff>
    </xdr:to>
    <xdr:graphicFrame>
      <xdr:nvGraphicFramePr>
        <xdr:cNvPr id="0" name="Chart 1"/>
        <xdr:cNvGraphicFramePr/>
      </xdr:nvGraphicFramePr>
      <xdr:xfrm>
        <a:off x="266760" y="735336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5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7.5" hidden="false" customHeight="true" outlineLevel="0" collapsed="false"/>
    <row r="5" customFormat="false" ht="18" hidden="false" customHeight="true" outlineLevel="0" collapsed="false">
      <c r="B5" s="3" t="s">
        <v>2</v>
      </c>
      <c r="C5" s="3"/>
      <c r="E5" s="4" t="s">
        <v>3</v>
      </c>
      <c r="F5" s="4"/>
    </row>
    <row r="6" customFormat="false" ht="15" hidden="false" customHeight="true" outlineLevel="0" collapsed="false">
      <c r="B6" s="5" t="s">
        <v>4</v>
      </c>
      <c r="C6" s="6" t="s">
        <v>5</v>
      </c>
      <c r="E6" s="5" t="s">
        <v>6</v>
      </c>
      <c r="F6" s="6" t="s">
        <v>5</v>
      </c>
    </row>
    <row r="7" customFormat="false" ht="18.75" hidden="false" customHeight="true" outlineLevel="0" collapsed="false">
      <c r="B7" s="7" t="s">
        <v>7</v>
      </c>
      <c r="C7" s="7"/>
      <c r="E7" s="7" t="s">
        <v>8</v>
      </c>
      <c r="F7" s="7"/>
    </row>
    <row r="8" customFormat="false" ht="18.75" hidden="false" customHeight="true" outlineLevel="0" collapsed="false">
      <c r="B8" s="8" t="s">
        <v>9</v>
      </c>
      <c r="C8" s="9" t="n">
        <v>10.5</v>
      </c>
      <c r="E8" s="8" t="s">
        <v>10</v>
      </c>
      <c r="F8" s="10" t="n">
        <f aca="false">C8*C9</f>
        <v>9975</v>
      </c>
    </row>
    <row r="9" customFormat="false" ht="18.75" hidden="false" customHeight="true" outlineLevel="0" collapsed="false">
      <c r="B9" s="8" t="s">
        <v>11</v>
      </c>
      <c r="C9" s="11" t="n">
        <v>950</v>
      </c>
      <c r="E9" s="8" t="s">
        <v>12</v>
      </c>
      <c r="F9" s="10" t="n">
        <f aca="false">MIN(F8*C10,C22)</f>
        <v>3491.25</v>
      </c>
    </row>
    <row r="10" customFormat="false" ht="18.75" hidden="false" customHeight="true" outlineLevel="0" collapsed="false">
      <c r="B10" s="8" t="s">
        <v>13</v>
      </c>
      <c r="C10" s="12" t="n">
        <v>0.35</v>
      </c>
      <c r="E10" s="8" t="s">
        <v>14</v>
      </c>
      <c r="F10" s="10" t="n">
        <f aca="false">F8-F9</f>
        <v>6483.75</v>
      </c>
    </row>
    <row r="11" customFormat="false" ht="18.75" hidden="false" customHeight="true" outlineLevel="0" collapsed="false">
      <c r="B11" s="8" t="s">
        <v>15</v>
      </c>
      <c r="C11" s="12" t="n">
        <v>0.2</v>
      </c>
      <c r="E11" s="8" t="s">
        <v>16</v>
      </c>
      <c r="F11" s="13" t="n">
        <f aca="false">IFERROR(F9/F8,0)</f>
        <v>0.35</v>
      </c>
    </row>
    <row r="12" customFormat="false" ht="18.75" hidden="false" customHeight="true" outlineLevel="0" collapsed="false">
      <c r="B12" s="8" t="s">
        <v>17</v>
      </c>
      <c r="C12" s="12" t="n">
        <v>0.8</v>
      </c>
      <c r="E12" s="8" t="s">
        <v>18</v>
      </c>
      <c r="F12" s="13" t="n">
        <f aca="false">IFERROR(F9/C22,0)</f>
        <v>0.775833333333333</v>
      </c>
    </row>
    <row r="13" customFormat="false" ht="18.75" hidden="false" customHeight="true" outlineLevel="0" collapsed="false">
      <c r="B13" s="7" t="s">
        <v>19</v>
      </c>
      <c r="C13" s="7"/>
      <c r="E13" s="7" t="s">
        <v>20</v>
      </c>
      <c r="F13" s="7"/>
    </row>
    <row r="14" customFormat="false" ht="18.75" hidden="false" customHeight="true" outlineLevel="0" collapsed="false">
      <c r="B14" s="8" t="s">
        <v>21</v>
      </c>
      <c r="C14" s="14" t="n">
        <v>14500</v>
      </c>
      <c r="E14" s="8" t="s">
        <v>22</v>
      </c>
      <c r="F14" s="15" t="n">
        <f aca="false">F9*C18</f>
        <v>1117.2</v>
      </c>
    </row>
    <row r="15" customFormat="false" ht="18.75" hidden="false" customHeight="true" outlineLevel="0" collapsed="false">
      <c r="B15" s="8" t="s">
        <v>23</v>
      </c>
      <c r="C15" s="14" t="n">
        <v>6500</v>
      </c>
      <c r="E15" s="8" t="s">
        <v>24</v>
      </c>
      <c r="F15" s="15" t="n">
        <f aca="false">F10*C19</f>
        <v>504.43575</v>
      </c>
    </row>
    <row r="16" customFormat="false" ht="18.75" hidden="false" customHeight="true" outlineLevel="0" collapsed="false">
      <c r="B16" s="8" t="s">
        <v>25</v>
      </c>
      <c r="C16" s="16" t="n">
        <v>0.012</v>
      </c>
      <c r="E16" s="8" t="s">
        <v>26</v>
      </c>
      <c r="F16" s="15" t="n">
        <f aca="false">F14+F15</f>
        <v>1621.63575</v>
      </c>
    </row>
    <row r="17" customFormat="false" ht="18.75" hidden="false" customHeight="true" outlineLevel="0" collapsed="false">
      <c r="B17" s="7" t="s">
        <v>27</v>
      </c>
      <c r="C17" s="7"/>
      <c r="E17" s="8" t="s">
        <v>28</v>
      </c>
      <c r="F17" s="15" t="n">
        <f aca="false">(C14+C15)*C16</f>
        <v>252</v>
      </c>
    </row>
    <row r="18" customFormat="false" ht="18.75" hidden="false" customHeight="true" outlineLevel="0" collapsed="false">
      <c r="B18" s="8" t="s">
        <v>29</v>
      </c>
      <c r="C18" s="17" t="n">
        <v>0.32</v>
      </c>
      <c r="E18" s="8" t="s">
        <v>30</v>
      </c>
      <c r="F18" s="18" t="n">
        <f aca="false">F16-F17</f>
        <v>1369.63575</v>
      </c>
    </row>
    <row r="19" customFormat="false" ht="18.75" hidden="false" customHeight="true" outlineLevel="0" collapsed="false">
      <c r="B19" s="8" t="s">
        <v>31</v>
      </c>
      <c r="C19" s="19" t="n">
        <v>0.0778</v>
      </c>
      <c r="E19" s="7" t="s">
        <v>32</v>
      </c>
      <c r="F19" s="7"/>
    </row>
    <row r="20" customFormat="false" ht="18.75" hidden="false" customHeight="true" outlineLevel="0" collapsed="false">
      <c r="B20" s="8" t="s">
        <v>33</v>
      </c>
      <c r="C20" s="20" t="n">
        <v>0.02</v>
      </c>
      <c r="E20" s="8" t="s">
        <v>34</v>
      </c>
      <c r="F20" s="15" t="n">
        <f aca="false">C14+C15</f>
        <v>21000</v>
      </c>
    </row>
    <row r="21" customFormat="false" ht="18.75" hidden="false" customHeight="true" outlineLevel="0" collapsed="false">
      <c r="B21" s="7" t="s">
        <v>35</v>
      </c>
      <c r="C21" s="7"/>
      <c r="E21" s="8" t="s">
        <v>36</v>
      </c>
      <c r="F21" s="15" t="n">
        <f aca="false">C23</f>
        <v>0</v>
      </c>
    </row>
    <row r="22" customFormat="false" ht="18.75" hidden="false" customHeight="true" outlineLevel="0" collapsed="false">
      <c r="B22" s="8" t="s">
        <v>37</v>
      </c>
      <c r="C22" s="21" t="n">
        <v>4500</v>
      </c>
      <c r="E22" s="8" t="s">
        <v>38</v>
      </c>
      <c r="F22" s="15" t="n">
        <f aca="false">F20-F21</f>
        <v>21000</v>
      </c>
    </row>
    <row r="23" customFormat="false" ht="18.75" hidden="false" customHeight="true" outlineLevel="0" collapsed="false">
      <c r="B23" s="8" t="s">
        <v>39</v>
      </c>
      <c r="C23" s="14" t="n">
        <v>0</v>
      </c>
      <c r="E23" s="7" t="s">
        <v>40</v>
      </c>
      <c r="F23" s="7"/>
    </row>
    <row r="24" customFormat="false" ht="18.75" hidden="false" customHeight="true" outlineLevel="0" collapsed="false">
      <c r="B24" s="7" t="s">
        <v>41</v>
      </c>
      <c r="C24" s="7"/>
      <c r="E24" s="22" t="s">
        <v>42</v>
      </c>
      <c r="F24" s="23" t="n">
        <f aca="false">IFERROR(F22/F18,0)</f>
        <v>15.3325437073324</v>
      </c>
    </row>
    <row r="25" customFormat="false" ht="18.75" hidden="false" customHeight="true" outlineLevel="0" collapsed="false">
      <c r="B25" s="8" t="s">
        <v>43</v>
      </c>
      <c r="C25" s="24" t="n">
        <v>25</v>
      </c>
      <c r="E25" s="8" t="s">
        <v>44</v>
      </c>
      <c r="F25" s="13" t="n">
        <f aca="false">IFERROR(F18/F22,0)</f>
        <v>0.06522075</v>
      </c>
    </row>
    <row r="26" customFormat="false" ht="18.75" hidden="false" customHeight="true" outlineLevel="0" collapsed="false">
      <c r="B26" s="8" t="s">
        <v>45</v>
      </c>
      <c r="C26" s="20" t="n">
        <v>0.005</v>
      </c>
      <c r="E26" s="8" t="s">
        <v>46</v>
      </c>
      <c r="F26" s="18" t="n">
        <f aca="false">F18*C25-F22</f>
        <v>13240.89375</v>
      </c>
    </row>
    <row r="27" customFormat="false" ht="18.75" hidden="false" customHeight="true" outlineLevel="0" collapsed="false">
      <c r="E27" s="8" t="s">
        <v>47</v>
      </c>
      <c r="F27" s="25" t="n">
        <f aca="false">IFERROR(F26/F22,0)</f>
        <v>0.63051875</v>
      </c>
    </row>
    <row r="28" customFormat="false" ht="18" hidden="false" customHeight="true" outlineLevel="0" collapsed="false"/>
    <row r="29" customFormat="false" ht="18" hidden="false" customHeight="true" outlineLevel="0" collapsed="false">
      <c r="E29" s="26" t="s">
        <v>48</v>
      </c>
      <c r="F29" s="26"/>
    </row>
    <row r="30" customFormat="false" ht="18" hidden="false" customHeight="true" outlineLevel="0" collapsed="false">
      <c r="E30" s="5" t="s">
        <v>9</v>
      </c>
      <c r="F30" s="6" t="s">
        <v>49</v>
      </c>
    </row>
    <row r="31" customFormat="false" ht="18" hidden="false" customHeight="true" outlineLevel="0" collapsed="false">
      <c r="E31" s="27" t="s">
        <v>50</v>
      </c>
      <c r="F31" s="28" t="s">
        <v>51</v>
      </c>
    </row>
    <row r="32" customFormat="false" ht="18" hidden="false" customHeight="true" outlineLevel="0" collapsed="false">
      <c r="E32" s="27" t="s">
        <v>52</v>
      </c>
      <c r="F32" s="28" t="s">
        <v>53</v>
      </c>
    </row>
    <row r="33" customFormat="false" ht="18" hidden="false" customHeight="true" outlineLevel="0" collapsed="false"/>
    <row r="34" customFormat="false" ht="36" hidden="false" customHeight="true" outlineLevel="0" collapsed="false">
      <c r="E34" s="29" t="s">
        <v>54</v>
      </c>
      <c r="F34" s="29"/>
    </row>
    <row r="35" customFormat="false" ht="18" hidden="false" customHeight="true" outlineLevel="0" collapsed="false"/>
    <row r="36" customFormat="false" ht="18" hidden="false" customHeight="true" outlineLevel="0" collapsed="false">
      <c r="B36" s="30" t="s">
        <v>55</v>
      </c>
      <c r="C36" s="30"/>
      <c r="D36" s="30"/>
      <c r="E36" s="30"/>
      <c r="F36" s="30"/>
    </row>
    <row r="37" customFormat="false" ht="24" hidden="false" customHeight="true" outlineLevel="0" collapsed="false">
      <c r="B37" s="31" t="s">
        <v>56</v>
      </c>
      <c r="C37" s="31"/>
      <c r="D37" s="31"/>
      <c r="E37" s="31"/>
      <c r="F37" s="31"/>
    </row>
    <row r="38" customFormat="false" ht="18" hidden="false" customHeight="true" outlineLevel="0" collapsed="false">
      <c r="B38" s="32" t="s">
        <v>57</v>
      </c>
      <c r="C38" s="32"/>
      <c r="D38" s="32"/>
      <c r="E38" s="32"/>
      <c r="F38" s="32"/>
    </row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18">
    <mergeCell ref="B2:F2"/>
    <mergeCell ref="B3:F3"/>
    <mergeCell ref="B5:C5"/>
    <mergeCell ref="E5:F5"/>
    <mergeCell ref="B7:C7"/>
    <mergeCell ref="E7:F7"/>
    <mergeCell ref="B13:C13"/>
    <mergeCell ref="E13:F13"/>
    <mergeCell ref="B17:C17"/>
    <mergeCell ref="E19:F19"/>
    <mergeCell ref="B21:C21"/>
    <mergeCell ref="E23:F23"/>
    <mergeCell ref="B24:C24"/>
    <mergeCell ref="E29:F29"/>
    <mergeCell ref="E34:F34"/>
    <mergeCell ref="B36:F36"/>
    <mergeCell ref="B37:F37"/>
    <mergeCell ref="B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24"/>
    <col collapsed="false" customWidth="true" hidden="false" outlineLevel="0" max="5" min="4" style="0" width="20"/>
    <col collapsed="false" customWidth="true" hidden="false" outlineLevel="0" max="8" min="6" style="0" width="18"/>
    <col collapsed="false" customWidth="true" hidden="false" outlineLevel="0" max="11" min="9" style="0" width="20"/>
    <col collapsed="false" customWidth="true" hidden="false" outlineLevel="0" max="12" min="12" style="0" width="22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33" t="s">
        <v>58</v>
      </c>
      <c r="C2" s="33"/>
      <c r="D2" s="33"/>
      <c r="E2" s="33"/>
      <c r="F2" s="33"/>
      <c r="G2" s="33"/>
      <c r="H2" s="33"/>
      <c r="I2" s="33"/>
      <c r="J2" s="33"/>
      <c r="K2" s="33"/>
    </row>
    <row r="3" customFormat="false" ht="21.75" hidden="false" customHeight="true" outlineLevel="0" collapsed="false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31.5" hidden="false" customHeight="true" outlineLevel="0" collapsed="false">
      <c r="B4" s="34" t="s">
        <v>60</v>
      </c>
      <c r="C4" s="34" t="s">
        <v>61</v>
      </c>
      <c r="D4" s="34" t="s">
        <v>62</v>
      </c>
      <c r="E4" s="34" t="s">
        <v>63</v>
      </c>
      <c r="F4" s="34" t="s">
        <v>64</v>
      </c>
      <c r="G4" s="34" t="s">
        <v>65</v>
      </c>
      <c r="H4" s="34" t="s">
        <v>66</v>
      </c>
      <c r="I4" s="34" t="s">
        <v>67</v>
      </c>
      <c r="J4" s="34" t="s">
        <v>68</v>
      </c>
      <c r="K4" s="34" t="s">
        <v>69</v>
      </c>
      <c r="L4" s="34" t="s">
        <v>70</v>
      </c>
    </row>
    <row r="5" customFormat="false" ht="18" hidden="false" customHeight="true" outlineLevel="0" collapsed="false">
      <c r="B5" s="35" t="n">
        <v>1</v>
      </c>
      <c r="C5" s="36" t="n">
        <f aca="false">2026+0</f>
        <v>2026</v>
      </c>
      <c r="D5" s="37" t="n">
        <f aca="false">'PV-Rechner'!C8*'PV-Rechner'!C9*(1-'PV-Rechner'!C26)^(0)</f>
        <v>9975</v>
      </c>
      <c r="E5" s="37" t="n">
        <f aca="false">MIN(D5*'PV-Rechner'!C10,'PV-Rechner'!C22)</f>
        <v>3491.25</v>
      </c>
      <c r="F5" s="37" t="n">
        <f aca="false">D5-E5</f>
        <v>6483.75</v>
      </c>
      <c r="G5" s="38" t="n">
        <f aca="false">'PV-Rechner'!C18*(1+'PV-Rechner'!C20)^(0)</f>
        <v>0.32</v>
      </c>
      <c r="H5" s="39" t="n">
        <f aca="false">E5*G5</f>
        <v>1117.2</v>
      </c>
      <c r="I5" s="39" t="n">
        <f aca="false">F5*'PV-Rechner'!C19</f>
        <v>504.43575</v>
      </c>
      <c r="J5" s="39" t="n">
        <f aca="false">('PV-Rechner'!C14+'PV-Rechner'!C15)*'PV-Rechner'!C16</f>
        <v>252</v>
      </c>
      <c r="K5" s="39" t="n">
        <f aca="false">H5+I5-J5</f>
        <v>1369.63575</v>
      </c>
      <c r="L5" s="40" t="n">
        <f aca="false">K5-('PV-Rechner'!C14+'PV-Rechner'!C15-'PV-Rechner'!C23)</f>
        <v>-19630.36425</v>
      </c>
    </row>
    <row r="6" customFormat="false" ht="18" hidden="false" customHeight="true" outlineLevel="0" collapsed="false">
      <c r="B6" s="41" t="n">
        <v>2</v>
      </c>
      <c r="C6" s="42" t="n">
        <f aca="false">2026+1</f>
        <v>2027</v>
      </c>
      <c r="D6" s="43" t="n">
        <f aca="false">'PV-Rechner'!C8*'PV-Rechner'!C9*(1-'PV-Rechner'!C26)^(1)</f>
        <v>9925.125</v>
      </c>
      <c r="E6" s="43" t="n">
        <f aca="false">MIN(D6*'PV-Rechner'!C10,'PV-Rechner'!C22)</f>
        <v>3473.79375</v>
      </c>
      <c r="F6" s="43" t="n">
        <f aca="false">D6-E6</f>
        <v>6451.33125</v>
      </c>
      <c r="G6" s="44" t="n">
        <f aca="false">'PV-Rechner'!C18*(1+'PV-Rechner'!C20)^(1)</f>
        <v>0.3264</v>
      </c>
      <c r="H6" s="45" t="n">
        <f aca="false">E6*G6</f>
        <v>1133.84628</v>
      </c>
      <c r="I6" s="45" t="n">
        <f aca="false">F6*'PV-Rechner'!C19</f>
        <v>501.91357125</v>
      </c>
      <c r="J6" s="45" t="n">
        <f aca="false">('PV-Rechner'!C14+'PV-Rechner'!C15)*'PV-Rechner'!C16</f>
        <v>252</v>
      </c>
      <c r="K6" s="45" t="n">
        <f aca="false">H6+I6-J6</f>
        <v>1383.75985125</v>
      </c>
      <c r="L6" s="40" t="n">
        <f aca="false">L5+K6</f>
        <v>-18246.60439875</v>
      </c>
    </row>
    <row r="7" customFormat="false" ht="18" hidden="false" customHeight="true" outlineLevel="0" collapsed="false">
      <c r="B7" s="35" t="n">
        <v>3</v>
      </c>
      <c r="C7" s="36" t="n">
        <f aca="false">2026+2</f>
        <v>2028</v>
      </c>
      <c r="D7" s="37" t="n">
        <f aca="false">'PV-Rechner'!C8*'PV-Rechner'!C9*(1-'PV-Rechner'!C26)^(2)</f>
        <v>9875.499375</v>
      </c>
      <c r="E7" s="37" t="n">
        <f aca="false">MIN(D7*'PV-Rechner'!C10,'PV-Rechner'!C22)</f>
        <v>3456.42478125</v>
      </c>
      <c r="F7" s="37" t="n">
        <f aca="false">D7-E7</f>
        <v>6419.07459375</v>
      </c>
      <c r="G7" s="38" t="n">
        <f aca="false">'PV-Rechner'!C18*(1+'PV-Rechner'!C20)^(2)</f>
        <v>0.332928</v>
      </c>
      <c r="H7" s="39" t="n">
        <f aca="false">E7*G7</f>
        <v>1150.740589572</v>
      </c>
      <c r="I7" s="39" t="n">
        <f aca="false">F7*'PV-Rechner'!C19</f>
        <v>499.40400339375</v>
      </c>
      <c r="J7" s="39" t="n">
        <f aca="false">('PV-Rechner'!C14+'PV-Rechner'!C15)*'PV-Rechner'!C16</f>
        <v>252</v>
      </c>
      <c r="K7" s="39" t="n">
        <f aca="false">H7+I7-J7</f>
        <v>1398.14459296575</v>
      </c>
      <c r="L7" s="40" t="n">
        <f aca="false">L6+K7</f>
        <v>-16848.4598057843</v>
      </c>
    </row>
    <row r="8" customFormat="false" ht="18" hidden="false" customHeight="true" outlineLevel="0" collapsed="false">
      <c r="B8" s="41" t="n">
        <v>4</v>
      </c>
      <c r="C8" s="42" t="n">
        <f aca="false">2026+3</f>
        <v>2029</v>
      </c>
      <c r="D8" s="43" t="n">
        <f aca="false">'PV-Rechner'!C8*'PV-Rechner'!C9*(1-'PV-Rechner'!C26)^(3)</f>
        <v>9826.121878125</v>
      </c>
      <c r="E8" s="43" t="n">
        <f aca="false">MIN(D8*'PV-Rechner'!C10,'PV-Rechner'!C22)</f>
        <v>3439.14265734375</v>
      </c>
      <c r="F8" s="43" t="n">
        <f aca="false">D8-E8</f>
        <v>6386.97922078125</v>
      </c>
      <c r="G8" s="44" t="n">
        <f aca="false">'PV-Rechner'!C18*(1+'PV-Rechner'!C20)^(3)</f>
        <v>0.33958656</v>
      </c>
      <c r="H8" s="45" t="n">
        <f aca="false">E8*G8</f>
        <v>1167.88662435662</v>
      </c>
      <c r="I8" s="45" t="n">
        <f aca="false">F8*'PV-Rechner'!C19</f>
        <v>496.906983376781</v>
      </c>
      <c r="J8" s="45" t="n">
        <f aca="false">('PV-Rechner'!C14+'PV-Rechner'!C15)*'PV-Rechner'!C16</f>
        <v>252</v>
      </c>
      <c r="K8" s="45" t="n">
        <f aca="false">H8+I8-J8</f>
        <v>1412.7936077334</v>
      </c>
      <c r="L8" s="40" t="n">
        <f aca="false">L7+K8</f>
        <v>-15435.6661980508</v>
      </c>
    </row>
    <row r="9" customFormat="false" ht="18" hidden="false" customHeight="true" outlineLevel="0" collapsed="false">
      <c r="B9" s="35" t="n">
        <v>5</v>
      </c>
      <c r="C9" s="36" t="n">
        <f aca="false">2026+4</f>
        <v>2030</v>
      </c>
      <c r="D9" s="37" t="n">
        <f aca="false">'PV-Rechner'!C8*'PV-Rechner'!C9*(1-'PV-Rechner'!C26)^(4)</f>
        <v>9776.99126873438</v>
      </c>
      <c r="E9" s="37" t="n">
        <f aca="false">MIN(D9*'PV-Rechner'!C10,'PV-Rechner'!C22)</f>
        <v>3421.94694405703</v>
      </c>
      <c r="F9" s="37" t="n">
        <f aca="false">D9-E9</f>
        <v>6355.04432467734</v>
      </c>
      <c r="G9" s="38" t="n">
        <f aca="false">'PV-Rechner'!C18*(1+'PV-Rechner'!C20)^(4)</f>
        <v>0.3463782912</v>
      </c>
      <c r="H9" s="39" t="n">
        <f aca="false">E9*G9</f>
        <v>1185.28813505954</v>
      </c>
      <c r="I9" s="39" t="n">
        <f aca="false">F9*'PV-Rechner'!C19</f>
        <v>494.422448459897</v>
      </c>
      <c r="J9" s="39" t="n">
        <f aca="false">('PV-Rechner'!C14+'PV-Rechner'!C15)*'PV-Rechner'!C16</f>
        <v>252</v>
      </c>
      <c r="K9" s="39" t="n">
        <f aca="false">H9+I9-J9</f>
        <v>1427.71058351943</v>
      </c>
      <c r="L9" s="40" t="n">
        <f aca="false">L8+K9</f>
        <v>-14007.9556145314</v>
      </c>
    </row>
    <row r="10" customFormat="false" ht="18" hidden="false" customHeight="true" outlineLevel="0" collapsed="false">
      <c r="B10" s="41" t="n">
        <v>6</v>
      </c>
      <c r="C10" s="42" t="n">
        <f aca="false">2026+5</f>
        <v>2031</v>
      </c>
      <c r="D10" s="43" t="n">
        <f aca="false">'PV-Rechner'!C8*'PV-Rechner'!C9*(1-'PV-Rechner'!C26)^(5)</f>
        <v>9728.1063123907</v>
      </c>
      <c r="E10" s="43" t="n">
        <f aca="false">MIN(D10*'PV-Rechner'!C10,'PV-Rechner'!C22)</f>
        <v>3404.83720933675</v>
      </c>
      <c r="F10" s="43" t="n">
        <f aca="false">D10-E10</f>
        <v>6323.26910305396</v>
      </c>
      <c r="G10" s="44" t="n">
        <f aca="false">'PV-Rechner'!C18*(1+'PV-Rechner'!C20)^(5)</f>
        <v>0.353305857024</v>
      </c>
      <c r="H10" s="45" t="n">
        <f aca="false">E10*G10</f>
        <v>1202.94892827192</v>
      </c>
      <c r="I10" s="45" t="n">
        <f aca="false">F10*'PV-Rechner'!C19</f>
        <v>491.950336217598</v>
      </c>
      <c r="J10" s="45" t="n">
        <f aca="false">('PV-Rechner'!C14+'PV-Rechner'!C15)*'PV-Rechner'!C16</f>
        <v>252</v>
      </c>
      <c r="K10" s="45" t="n">
        <f aca="false">H10+I10-J10</f>
        <v>1442.89926448952</v>
      </c>
      <c r="L10" s="40" t="n">
        <f aca="false">L9+K10</f>
        <v>-12565.0563500419</v>
      </c>
    </row>
    <row r="11" customFormat="false" ht="18" hidden="false" customHeight="true" outlineLevel="0" collapsed="false">
      <c r="B11" s="35" t="n">
        <v>7</v>
      </c>
      <c r="C11" s="36" t="n">
        <f aca="false">2026+6</f>
        <v>2032</v>
      </c>
      <c r="D11" s="37" t="n">
        <f aca="false">'PV-Rechner'!C8*'PV-Rechner'!C9*(1-'PV-Rechner'!C26)^(6)</f>
        <v>9679.46578082875</v>
      </c>
      <c r="E11" s="37" t="n">
        <f aca="false">MIN(D11*'PV-Rechner'!C10,'PV-Rechner'!C22)</f>
        <v>3387.81302329006</v>
      </c>
      <c r="F11" s="37" t="n">
        <f aca="false">D11-E11</f>
        <v>6291.65275753869</v>
      </c>
      <c r="G11" s="38" t="n">
        <f aca="false">'PV-Rechner'!C18*(1+'PV-Rechner'!C20)^(6)</f>
        <v>0.36037197416448</v>
      </c>
      <c r="H11" s="39" t="n">
        <f aca="false">E11*G11</f>
        <v>1220.87286730318</v>
      </c>
      <c r="I11" s="39" t="n">
        <f aca="false">F11*'PV-Rechner'!C19</f>
        <v>489.49058453651</v>
      </c>
      <c r="J11" s="39" t="n">
        <f aca="false">('PV-Rechner'!C14+'PV-Rechner'!C15)*'PV-Rechner'!C16</f>
        <v>252</v>
      </c>
      <c r="K11" s="39" t="n">
        <f aca="false">H11+I11-J11</f>
        <v>1458.36345183969</v>
      </c>
      <c r="L11" s="40" t="n">
        <f aca="false">L10+K11</f>
        <v>-11106.6928982022</v>
      </c>
    </row>
    <row r="12" customFormat="false" ht="18" hidden="false" customHeight="true" outlineLevel="0" collapsed="false">
      <c r="B12" s="41" t="n">
        <v>8</v>
      </c>
      <c r="C12" s="42" t="n">
        <f aca="false">2026+7</f>
        <v>2033</v>
      </c>
      <c r="D12" s="43" t="n">
        <f aca="false">'PV-Rechner'!C8*'PV-Rechner'!C9*(1-'PV-Rechner'!C26)^(7)</f>
        <v>9631.06845192461</v>
      </c>
      <c r="E12" s="43" t="n">
        <f aca="false">MIN(D12*'PV-Rechner'!C10,'PV-Rechner'!C22)</f>
        <v>3370.87395817361</v>
      </c>
      <c r="F12" s="43" t="n">
        <f aca="false">D12-E12</f>
        <v>6260.19449375099</v>
      </c>
      <c r="G12" s="44" t="n">
        <f aca="false">'PV-Rechner'!C18*(1+'PV-Rechner'!C20)^(7)</f>
        <v>0.36757941364777</v>
      </c>
      <c r="H12" s="45" t="n">
        <f aca="false">E12*G12</f>
        <v>1239.06387302599</v>
      </c>
      <c r="I12" s="45" t="n">
        <f aca="false">F12*'PV-Rechner'!C19</f>
        <v>487.043131613827</v>
      </c>
      <c r="J12" s="45" t="n">
        <f aca="false">('PV-Rechner'!C14+'PV-Rechner'!C15)*'PV-Rechner'!C16</f>
        <v>252</v>
      </c>
      <c r="K12" s="45" t="n">
        <f aca="false">H12+I12-J12</f>
        <v>1474.10700463982</v>
      </c>
      <c r="L12" s="40" t="n">
        <f aca="false">L11+K12</f>
        <v>-9632.58589356238</v>
      </c>
    </row>
    <row r="13" customFormat="false" ht="18" hidden="false" customHeight="true" outlineLevel="0" collapsed="false">
      <c r="B13" s="35" t="n">
        <v>9</v>
      </c>
      <c r="C13" s="36" t="n">
        <f aca="false">2026+8</f>
        <v>2034</v>
      </c>
      <c r="D13" s="37" t="n">
        <f aca="false">'PV-Rechner'!C8*'PV-Rechner'!C9*(1-'PV-Rechner'!C26)^(8)</f>
        <v>9582.91310966498</v>
      </c>
      <c r="E13" s="37" t="n">
        <f aca="false">MIN(D13*'PV-Rechner'!C10,'PV-Rechner'!C22)</f>
        <v>3354.01958838274</v>
      </c>
      <c r="F13" s="37" t="n">
        <f aca="false">D13-E13</f>
        <v>6228.89352128224</v>
      </c>
      <c r="G13" s="38" t="n">
        <f aca="false">'PV-Rechner'!C18*(1+'PV-Rechner'!C20)^(8)</f>
        <v>0.374931001920725</v>
      </c>
      <c r="H13" s="39" t="n">
        <f aca="false">E13*G13</f>
        <v>1257.52592473408</v>
      </c>
      <c r="I13" s="39" t="n">
        <f aca="false">F13*'PV-Rechner'!C19</f>
        <v>484.607915955758</v>
      </c>
      <c r="J13" s="39" t="n">
        <f aca="false">('PV-Rechner'!C14+'PV-Rechner'!C15)*'PV-Rechner'!C16</f>
        <v>252</v>
      </c>
      <c r="K13" s="39" t="n">
        <f aca="false">H13+I13-J13</f>
        <v>1490.13384068984</v>
      </c>
      <c r="L13" s="40" t="n">
        <f aca="false">L12+K13</f>
        <v>-8142.45205287255</v>
      </c>
    </row>
    <row r="14" customFormat="false" ht="18" hidden="false" customHeight="true" outlineLevel="0" collapsed="false">
      <c r="B14" s="41" t="n">
        <v>10</v>
      </c>
      <c r="C14" s="42" t="n">
        <f aca="false">2026+9</f>
        <v>2035</v>
      </c>
      <c r="D14" s="43" t="n">
        <f aca="false">'PV-Rechner'!C8*'PV-Rechner'!C9*(1-'PV-Rechner'!C26)^(9)</f>
        <v>9534.99854411666</v>
      </c>
      <c r="E14" s="43" t="n">
        <f aca="false">MIN(D14*'PV-Rechner'!C10,'PV-Rechner'!C22)</f>
        <v>3337.24949044083</v>
      </c>
      <c r="F14" s="43" t="n">
        <f aca="false">D14-E14</f>
        <v>6197.74905367583</v>
      </c>
      <c r="G14" s="44" t="n">
        <f aca="false">'PV-Rechner'!C18*(1+'PV-Rechner'!C20)^(9)</f>
        <v>0.38242962195914</v>
      </c>
      <c r="H14" s="45" t="n">
        <f aca="false">E14*G14</f>
        <v>1276.26306101262</v>
      </c>
      <c r="I14" s="45" t="n">
        <f aca="false">F14*'PV-Rechner'!C19</f>
        <v>482.184876375979</v>
      </c>
      <c r="J14" s="45" t="n">
        <f aca="false">('PV-Rechner'!C14+'PV-Rechner'!C15)*'PV-Rechner'!C16</f>
        <v>252</v>
      </c>
      <c r="K14" s="45" t="n">
        <f aca="false">H14+I14-J14</f>
        <v>1506.4479373886</v>
      </c>
      <c r="L14" s="40" t="n">
        <f aca="false">L13+K14</f>
        <v>-6636.00411548395</v>
      </c>
    </row>
    <row r="15" customFormat="false" ht="18" hidden="false" customHeight="true" outlineLevel="0" collapsed="false">
      <c r="B15" s="35" t="n">
        <v>11</v>
      </c>
      <c r="C15" s="36" t="n">
        <f aca="false">2026+10</f>
        <v>2036</v>
      </c>
      <c r="D15" s="37" t="n">
        <f aca="false">'PV-Rechner'!C8*'PV-Rechner'!C9*(1-'PV-Rechner'!C26)^(10)</f>
        <v>9487.32355139607</v>
      </c>
      <c r="E15" s="37" t="n">
        <f aca="false">MIN(D15*'PV-Rechner'!C10,'PV-Rechner'!C22)</f>
        <v>3320.56324298863</v>
      </c>
      <c r="F15" s="37" t="n">
        <f aca="false">D15-E15</f>
        <v>6166.76030840745</v>
      </c>
      <c r="G15" s="38" t="n">
        <f aca="false">'PV-Rechner'!C18*(1+'PV-Rechner'!C20)^(10)</f>
        <v>0.390078214398322</v>
      </c>
      <c r="H15" s="39" t="n">
        <f aca="false">E15*G15</f>
        <v>1295.27938062171</v>
      </c>
      <c r="I15" s="39" t="n">
        <f aca="false">F15*'PV-Rechner'!C19</f>
        <v>479.773951994099</v>
      </c>
      <c r="J15" s="39" t="n">
        <f aca="false">('PV-Rechner'!C14+'PV-Rechner'!C15)*'PV-Rechner'!C16</f>
        <v>252</v>
      </c>
      <c r="K15" s="39" t="n">
        <f aca="false">H15+I15-J15</f>
        <v>1523.05333261581</v>
      </c>
      <c r="L15" s="40" t="n">
        <f aca="false">L14+K15</f>
        <v>-5112.95078286814</v>
      </c>
    </row>
    <row r="16" customFormat="false" ht="18" hidden="false" customHeight="true" outlineLevel="0" collapsed="false">
      <c r="B16" s="41" t="n">
        <v>12</v>
      </c>
      <c r="C16" s="42" t="n">
        <f aca="false">2026+11</f>
        <v>2037</v>
      </c>
      <c r="D16" s="43" t="n">
        <f aca="false">'PV-Rechner'!C8*'PV-Rechner'!C9*(1-'PV-Rechner'!C26)^(11)</f>
        <v>9439.88693363909</v>
      </c>
      <c r="E16" s="43" t="n">
        <f aca="false">MIN(D16*'PV-Rechner'!C10,'PV-Rechner'!C22)</f>
        <v>3303.96042677368</v>
      </c>
      <c r="F16" s="43" t="n">
        <f aca="false">D16-E16</f>
        <v>6135.92650686541</v>
      </c>
      <c r="G16" s="44" t="n">
        <f aca="false">'PV-Rechner'!C18*(1+'PV-Rechner'!C20)^(11)</f>
        <v>0.397879778686289</v>
      </c>
      <c r="H16" s="45" t="n">
        <f aca="false">E16*G16</f>
        <v>1314.57904339297</v>
      </c>
      <c r="I16" s="45" t="n">
        <f aca="false">F16*'PV-Rechner'!C19</f>
        <v>477.375082234129</v>
      </c>
      <c r="J16" s="45" t="n">
        <f aca="false">('PV-Rechner'!C14+'PV-Rechner'!C15)*'PV-Rechner'!C16</f>
        <v>252</v>
      </c>
      <c r="K16" s="45" t="n">
        <f aca="false">H16+I16-J16</f>
        <v>1539.9541256271</v>
      </c>
      <c r="L16" s="40" t="n">
        <f aca="false">L15+K16</f>
        <v>-3572.99665724105</v>
      </c>
    </row>
    <row r="17" customFormat="false" ht="18" hidden="false" customHeight="true" outlineLevel="0" collapsed="false">
      <c r="B17" s="35" t="n">
        <v>13</v>
      </c>
      <c r="C17" s="36" t="n">
        <f aca="false">2026+12</f>
        <v>2038</v>
      </c>
      <c r="D17" s="37" t="n">
        <f aca="false">'PV-Rechner'!C8*'PV-Rechner'!C9*(1-'PV-Rechner'!C26)^(12)</f>
        <v>9392.6874989709</v>
      </c>
      <c r="E17" s="37" t="n">
        <f aca="false">MIN(D17*'PV-Rechner'!C10,'PV-Rechner'!C22)</f>
        <v>3287.44062463981</v>
      </c>
      <c r="F17" s="37" t="n">
        <f aca="false">D17-E17</f>
        <v>6105.24687433108</v>
      </c>
      <c r="G17" s="38" t="n">
        <f aca="false">'PV-Rechner'!C18*(1+'PV-Rechner'!C20)^(12)</f>
        <v>0.405837374260015</v>
      </c>
      <c r="H17" s="39" t="n">
        <f aca="false">E17*G17</f>
        <v>1334.16627113952</v>
      </c>
      <c r="I17" s="39" t="n">
        <f aca="false">F17*'PV-Rechner'!C19</f>
        <v>474.988206822958</v>
      </c>
      <c r="J17" s="39" t="n">
        <f aca="false">('PV-Rechner'!C14+'PV-Rechner'!C15)*'PV-Rechner'!C16</f>
        <v>252</v>
      </c>
      <c r="K17" s="39" t="n">
        <f aca="false">H17+I17-J17</f>
        <v>1557.15447796248</v>
      </c>
      <c r="L17" s="40" t="n">
        <f aca="false">L16+K17</f>
        <v>-2015.84217927856</v>
      </c>
    </row>
    <row r="18" customFormat="false" ht="18" hidden="false" customHeight="true" outlineLevel="0" collapsed="false">
      <c r="B18" s="41" t="n">
        <v>14</v>
      </c>
      <c r="C18" s="42" t="n">
        <f aca="false">2026+13</f>
        <v>2039</v>
      </c>
      <c r="D18" s="43" t="n">
        <f aca="false">'PV-Rechner'!C8*'PV-Rechner'!C9*(1-'PV-Rechner'!C26)^(13)</f>
        <v>9345.72406147604</v>
      </c>
      <c r="E18" s="43" t="n">
        <f aca="false">MIN(D18*'PV-Rechner'!C10,'PV-Rechner'!C22)</f>
        <v>3271.00342151661</v>
      </c>
      <c r="F18" s="43" t="n">
        <f aca="false">D18-E18</f>
        <v>6074.72063995943</v>
      </c>
      <c r="G18" s="44" t="n">
        <f aca="false">'PV-Rechner'!C18*(1+'PV-Rechner'!C20)^(13)</f>
        <v>0.413954121745215</v>
      </c>
      <c r="H18" s="45" t="n">
        <f aca="false">E18*G18</f>
        <v>1354.0453485795</v>
      </c>
      <c r="I18" s="45" t="n">
        <f aca="false">F18*'PV-Rechner'!C19</f>
        <v>472.613265788844</v>
      </c>
      <c r="J18" s="45" t="n">
        <f aca="false">('PV-Rechner'!C14+'PV-Rechner'!C15)*'PV-Rechner'!C16</f>
        <v>252</v>
      </c>
      <c r="K18" s="45" t="n">
        <f aca="false">H18+I18-J18</f>
        <v>1574.65861436835</v>
      </c>
      <c r="L18" s="40" t="n">
        <f aca="false">L17+K18</f>
        <v>-441.183564910217</v>
      </c>
    </row>
    <row r="19" customFormat="false" ht="18" hidden="false" customHeight="true" outlineLevel="0" collapsed="false">
      <c r="B19" s="35" t="n">
        <v>15</v>
      </c>
      <c r="C19" s="36" t="n">
        <f aca="false">2026+14</f>
        <v>2040</v>
      </c>
      <c r="D19" s="37" t="n">
        <f aca="false">'PV-Rechner'!C8*'PV-Rechner'!C9*(1-'PV-Rechner'!C26)^(14)</f>
        <v>9298.99544116866</v>
      </c>
      <c r="E19" s="37" t="n">
        <f aca="false">MIN(D19*'PV-Rechner'!C10,'PV-Rechner'!C22)</f>
        <v>3254.64840440903</v>
      </c>
      <c r="F19" s="37" t="n">
        <f aca="false">D19-E19</f>
        <v>6044.34703675963</v>
      </c>
      <c r="G19" s="38" t="n">
        <f aca="false">'PV-Rechner'!C18*(1+'PV-Rechner'!C20)^(14)</f>
        <v>0.422233204180119</v>
      </c>
      <c r="H19" s="39" t="n">
        <f aca="false">E19*G19</f>
        <v>1374.22062427334</v>
      </c>
      <c r="I19" s="39" t="n">
        <f aca="false">F19*'PV-Rechner'!C19</f>
        <v>470.250199459899</v>
      </c>
      <c r="J19" s="39" t="n">
        <f aca="false">('PV-Rechner'!C14+'PV-Rechner'!C15)*'PV-Rechner'!C16</f>
        <v>252</v>
      </c>
      <c r="K19" s="39" t="n">
        <f aca="false">H19+I19-J19</f>
        <v>1592.47082373324</v>
      </c>
      <c r="L19" s="40" t="n">
        <f aca="false">L18+K19</f>
        <v>1151.28725882302</v>
      </c>
    </row>
    <row r="20" customFormat="false" ht="18" hidden="false" customHeight="true" outlineLevel="0" collapsed="false">
      <c r="B20" s="41" t="n">
        <v>16</v>
      </c>
      <c r="C20" s="42" t="n">
        <f aca="false">2026+15</f>
        <v>2041</v>
      </c>
      <c r="D20" s="43" t="n">
        <f aca="false">'PV-Rechner'!C8*'PV-Rechner'!C9*(1-'PV-Rechner'!C26)^(15)</f>
        <v>9252.50046396282</v>
      </c>
      <c r="E20" s="43" t="n">
        <f aca="false">MIN(D20*'PV-Rechner'!C10,'PV-Rechner'!C22)</f>
        <v>3238.37516238699</v>
      </c>
      <c r="F20" s="43" t="n">
        <f aca="false">D20-E20</f>
        <v>6014.12530157583</v>
      </c>
      <c r="G20" s="44" t="n">
        <f aca="false">'PV-Rechner'!C18*(1+'PV-Rechner'!C20)^(15)</f>
        <v>0.430677868263722</v>
      </c>
      <c r="H20" s="45" t="n">
        <f aca="false">E20*G20</f>
        <v>1394.69651157501</v>
      </c>
      <c r="I20" s="45" t="n">
        <f aca="false">F20*'PV-Rechner'!C19</f>
        <v>467.8989484626</v>
      </c>
      <c r="J20" s="45" t="n">
        <f aca="false">('PV-Rechner'!C14+'PV-Rechner'!C15)*'PV-Rechner'!C16</f>
        <v>252</v>
      </c>
      <c r="K20" s="45" t="n">
        <f aca="false">H20+I20-J20</f>
        <v>1610.59546003761</v>
      </c>
      <c r="L20" s="46" t="n">
        <f aca="false">L19+K20</f>
        <v>2761.88271886063</v>
      </c>
    </row>
    <row r="21" customFormat="false" ht="18" hidden="false" customHeight="true" outlineLevel="0" collapsed="false">
      <c r="B21" s="35" t="n">
        <v>17</v>
      </c>
      <c r="C21" s="36" t="n">
        <f aca="false">2026+16</f>
        <v>2042</v>
      </c>
      <c r="D21" s="37" t="n">
        <f aca="false">'PV-Rechner'!C8*'PV-Rechner'!C9*(1-'PV-Rechner'!C26)^(16)</f>
        <v>9206.23796164301</v>
      </c>
      <c r="E21" s="37" t="n">
        <f aca="false">MIN(D21*'PV-Rechner'!C10,'PV-Rechner'!C22)</f>
        <v>3222.18328657505</v>
      </c>
      <c r="F21" s="37" t="n">
        <f aca="false">D21-E21</f>
        <v>5984.05467506795</v>
      </c>
      <c r="G21" s="38" t="n">
        <f aca="false">'PV-Rechner'!C18*(1+'PV-Rechner'!C20)^(16)</f>
        <v>0.439291425628996</v>
      </c>
      <c r="H21" s="39" t="n">
        <f aca="false">E21*G21</f>
        <v>1415.47748959748</v>
      </c>
      <c r="I21" s="39" t="n">
        <f aca="false">F21*'PV-Rechner'!C19</f>
        <v>465.559453720287</v>
      </c>
      <c r="J21" s="39" t="n">
        <f aca="false">('PV-Rechner'!C14+'PV-Rechner'!C15)*'PV-Rechner'!C16</f>
        <v>252</v>
      </c>
      <c r="K21" s="39" t="n">
        <f aca="false">H21+I21-J21</f>
        <v>1629.03694331777</v>
      </c>
      <c r="L21" s="46" t="n">
        <f aca="false">L20+K21</f>
        <v>4390.9196621784</v>
      </c>
    </row>
    <row r="22" customFormat="false" ht="18" hidden="false" customHeight="true" outlineLevel="0" collapsed="false">
      <c r="B22" s="41" t="n">
        <v>18</v>
      </c>
      <c r="C22" s="42" t="n">
        <f aca="false">2026+17</f>
        <v>2043</v>
      </c>
      <c r="D22" s="43" t="n">
        <f aca="false">'PV-Rechner'!C8*'PV-Rechner'!C9*(1-'PV-Rechner'!C26)^(17)</f>
        <v>9160.20677183479</v>
      </c>
      <c r="E22" s="43" t="n">
        <f aca="false">MIN(D22*'PV-Rechner'!C10,'PV-Rechner'!C22)</f>
        <v>3206.07237014218</v>
      </c>
      <c r="F22" s="43" t="n">
        <f aca="false">D22-E22</f>
        <v>5954.13440169261</v>
      </c>
      <c r="G22" s="44" t="n">
        <f aca="false">'PV-Rechner'!C18*(1+'PV-Rechner'!C20)^(17)</f>
        <v>0.448077254141576</v>
      </c>
      <c r="H22" s="45" t="n">
        <f aca="false">E22*G22</f>
        <v>1436.56810419248</v>
      </c>
      <c r="I22" s="45" t="n">
        <f aca="false">F22*'PV-Rechner'!C19</f>
        <v>463.231656451685</v>
      </c>
      <c r="J22" s="45" t="n">
        <f aca="false">('PV-Rechner'!C14+'PV-Rechner'!C15)*'PV-Rechner'!C16</f>
        <v>252</v>
      </c>
      <c r="K22" s="45" t="n">
        <f aca="false">H22+I22-J22</f>
        <v>1647.79976064417</v>
      </c>
      <c r="L22" s="46" t="n">
        <f aca="false">L21+K22</f>
        <v>6038.71942282256</v>
      </c>
    </row>
    <row r="23" customFormat="false" ht="18" hidden="false" customHeight="true" outlineLevel="0" collapsed="false">
      <c r="B23" s="35" t="n">
        <v>19</v>
      </c>
      <c r="C23" s="36" t="n">
        <f aca="false">2026+18</f>
        <v>2044</v>
      </c>
      <c r="D23" s="37" t="n">
        <f aca="false">'PV-Rechner'!C8*'PV-Rechner'!C9*(1-'PV-Rechner'!C26)^(18)</f>
        <v>9114.40573797562</v>
      </c>
      <c r="E23" s="37" t="n">
        <f aca="false">MIN(D23*'PV-Rechner'!C10,'PV-Rechner'!C22)</f>
        <v>3190.04200829147</v>
      </c>
      <c r="F23" s="37" t="n">
        <f aca="false">D23-E23</f>
        <v>5924.36372968415</v>
      </c>
      <c r="G23" s="38" t="n">
        <f aca="false">'PV-Rechner'!C18*(1+'PV-Rechner'!C20)^(18)</f>
        <v>0.457038799224408</v>
      </c>
      <c r="H23" s="39" t="n">
        <f aca="false">E23*G23</f>
        <v>1457.97296894495</v>
      </c>
      <c r="I23" s="39" t="n">
        <f aca="false">F23*'PV-Rechner'!C19</f>
        <v>460.915498169427</v>
      </c>
      <c r="J23" s="39" t="n">
        <f aca="false">('PV-Rechner'!C14+'PV-Rechner'!C15)*'PV-Rechner'!C16</f>
        <v>252</v>
      </c>
      <c r="K23" s="39" t="n">
        <f aca="false">H23+I23-J23</f>
        <v>1666.88846711438</v>
      </c>
      <c r="L23" s="46" t="n">
        <f aca="false">L22+K23</f>
        <v>7705.60788993694</v>
      </c>
    </row>
    <row r="24" customFormat="false" ht="18" hidden="false" customHeight="true" outlineLevel="0" collapsed="false">
      <c r="B24" s="41" t="n">
        <v>20</v>
      </c>
      <c r="C24" s="42" t="n">
        <f aca="false">2026+19</f>
        <v>2045</v>
      </c>
      <c r="D24" s="43" t="n">
        <f aca="false">'PV-Rechner'!C8*'PV-Rechner'!C9*(1-'PV-Rechner'!C26)^(19)</f>
        <v>9068.83370928574</v>
      </c>
      <c r="E24" s="43" t="n">
        <f aca="false">MIN(D24*'PV-Rechner'!C10,'PV-Rechner'!C22)</f>
        <v>3174.09179825001</v>
      </c>
      <c r="F24" s="43" t="n">
        <f aca="false">D24-E24</f>
        <v>5894.74191103573</v>
      </c>
      <c r="G24" s="44" t="n">
        <f aca="false">'PV-Rechner'!C18*(1+'PV-Rechner'!C20)^(19)</f>
        <v>0.466179575208896</v>
      </c>
      <c r="H24" s="45" t="n">
        <f aca="false">E24*G24</f>
        <v>1479.69676618223</v>
      </c>
      <c r="I24" s="45" t="n">
        <f aca="false">F24*'PV-Rechner'!C19</f>
        <v>458.61092067858</v>
      </c>
      <c r="J24" s="45" t="n">
        <f aca="false">('PV-Rechner'!C14+'PV-Rechner'!C15)*'PV-Rechner'!C16</f>
        <v>252</v>
      </c>
      <c r="K24" s="45" t="n">
        <f aca="false">H24+I24-J24</f>
        <v>1686.30768686081</v>
      </c>
      <c r="L24" s="46" t="n">
        <f aca="false">L23+K24</f>
        <v>9391.91557679775</v>
      </c>
    </row>
    <row r="25" customFormat="false" ht="18" hidden="false" customHeight="true" outlineLevel="0" collapsed="false">
      <c r="B25" s="35" t="n">
        <v>21</v>
      </c>
      <c r="C25" s="36" t="n">
        <f aca="false">2026+20</f>
        <v>2046</v>
      </c>
      <c r="D25" s="37" t="n">
        <f aca="false">'PV-Rechner'!C8*'PV-Rechner'!C9*(1-'PV-Rechner'!C26)^(20)</f>
        <v>9023.48954073931</v>
      </c>
      <c r="E25" s="37" t="n">
        <f aca="false">MIN(D25*'PV-Rechner'!C10,'PV-Rechner'!C22)</f>
        <v>3158.22133925876</v>
      </c>
      <c r="F25" s="37" t="n">
        <f aca="false">D25-E25</f>
        <v>5865.26820148055</v>
      </c>
      <c r="G25" s="38" t="n">
        <f aca="false">'PV-Rechner'!C18*(1+'PV-Rechner'!C20)^(20)</f>
        <v>0.475503166713074</v>
      </c>
      <c r="H25" s="39" t="n">
        <f aca="false">E25*G25</f>
        <v>1501.74424799834</v>
      </c>
      <c r="I25" s="39" t="n">
        <f aca="false">F25*'PV-Rechner'!C19</f>
        <v>456.317866075187</v>
      </c>
      <c r="J25" s="39" t="n">
        <f aca="false">('PV-Rechner'!C14+'PV-Rechner'!C15)*'PV-Rechner'!C16</f>
        <v>252</v>
      </c>
      <c r="K25" s="39" t="n">
        <f aca="false">H25+I25-J25</f>
        <v>1706.06211407353</v>
      </c>
      <c r="L25" s="46" t="n">
        <f aca="false">L24+K25</f>
        <v>11097.9776908713</v>
      </c>
    </row>
    <row r="26" customFormat="false" ht="18" hidden="false" customHeight="true" outlineLevel="0" collapsed="false">
      <c r="B26" s="41" t="n">
        <v>22</v>
      </c>
      <c r="C26" s="42" t="n">
        <f aca="false">2026+21</f>
        <v>2047</v>
      </c>
      <c r="D26" s="43" t="n">
        <f aca="false">'PV-Rechner'!C8*'PV-Rechner'!C9*(1-'PV-Rechner'!C26)^(21)</f>
        <v>8978.37209303561</v>
      </c>
      <c r="E26" s="43" t="n">
        <f aca="false">MIN(D26*'PV-Rechner'!C10,'PV-Rechner'!C22)</f>
        <v>3142.43023256247</v>
      </c>
      <c r="F26" s="43" t="n">
        <f aca="false">D26-E26</f>
        <v>5835.94186047315</v>
      </c>
      <c r="G26" s="44" t="n">
        <f aca="false">'PV-Rechner'!C18*(1+'PV-Rechner'!C20)^(21)</f>
        <v>0.485013230047335</v>
      </c>
      <c r="H26" s="45" t="n">
        <f aca="false">E26*G26</f>
        <v>1524.12023729352</v>
      </c>
      <c r="I26" s="45" t="n">
        <f aca="false">F26*'PV-Rechner'!C19</f>
        <v>454.036276744811</v>
      </c>
      <c r="J26" s="45" t="n">
        <f aca="false">('PV-Rechner'!C14+'PV-Rechner'!C15)*'PV-Rechner'!C16</f>
        <v>252</v>
      </c>
      <c r="K26" s="45" t="n">
        <f aca="false">H26+I26-J26</f>
        <v>1726.15651403833</v>
      </c>
      <c r="L26" s="46" t="n">
        <f aca="false">L25+K26</f>
        <v>12824.1342049096</v>
      </c>
    </row>
    <row r="27" customFormat="false" ht="18" hidden="false" customHeight="true" outlineLevel="0" collapsed="false">
      <c r="B27" s="35" t="n">
        <v>23</v>
      </c>
      <c r="C27" s="36" t="n">
        <f aca="false">2026+22</f>
        <v>2048</v>
      </c>
      <c r="D27" s="37" t="n">
        <f aca="false">'PV-Rechner'!C8*'PV-Rechner'!C9*(1-'PV-Rechner'!C26)^(22)</f>
        <v>8933.48023257044</v>
      </c>
      <c r="E27" s="37" t="n">
        <f aca="false">MIN(D27*'PV-Rechner'!C10,'PV-Rechner'!C22)</f>
        <v>3126.71808139965</v>
      </c>
      <c r="F27" s="37" t="n">
        <f aca="false">D27-E27</f>
        <v>5806.76215117078</v>
      </c>
      <c r="G27" s="38" t="n">
        <f aca="false">'PV-Rechner'!C18*(1+'PV-Rechner'!C20)^(22)</f>
        <v>0.494713494648282</v>
      </c>
      <c r="H27" s="39" t="n">
        <f aca="false">E27*G27</f>
        <v>1546.82962882919</v>
      </c>
      <c r="I27" s="39" t="n">
        <f aca="false">F27*'PV-Rechner'!C19</f>
        <v>451.766095361087</v>
      </c>
      <c r="J27" s="39" t="n">
        <f aca="false">('PV-Rechner'!C14+'PV-Rechner'!C15)*'PV-Rechner'!C16</f>
        <v>252</v>
      </c>
      <c r="K27" s="39" t="n">
        <f aca="false">H27+I27-J27</f>
        <v>1746.59572419028</v>
      </c>
      <c r="L27" s="46" t="n">
        <f aca="false">L26+K27</f>
        <v>14570.7299290999</v>
      </c>
    </row>
    <row r="28" customFormat="false" ht="18" hidden="false" customHeight="true" outlineLevel="0" collapsed="false">
      <c r="B28" s="41" t="n">
        <v>24</v>
      </c>
      <c r="C28" s="42" t="n">
        <f aca="false">2026+23</f>
        <v>2049</v>
      </c>
      <c r="D28" s="43" t="n">
        <f aca="false">'PV-Rechner'!C8*'PV-Rechner'!C9*(1-'PV-Rechner'!C26)^(23)</f>
        <v>8888.81283140758</v>
      </c>
      <c r="E28" s="43" t="n">
        <f aca="false">MIN(D28*'PV-Rechner'!C10,'PV-Rechner'!C22)</f>
        <v>3111.08449099265</v>
      </c>
      <c r="F28" s="43" t="n">
        <f aca="false">D28-E28</f>
        <v>5777.72834041493</v>
      </c>
      <c r="G28" s="44" t="n">
        <f aca="false">'PV-Rechner'!C18*(1+'PV-Rechner'!C20)^(23)</f>
        <v>0.504607764541247</v>
      </c>
      <c r="H28" s="45" t="n">
        <f aca="false">E28*G28</f>
        <v>1569.87739029875</v>
      </c>
      <c r="I28" s="45" t="n">
        <f aca="false">F28*'PV-Rechner'!C19</f>
        <v>449.507264884282</v>
      </c>
      <c r="J28" s="45" t="n">
        <f aca="false">('PV-Rechner'!C14+'PV-Rechner'!C15)*'PV-Rechner'!C16</f>
        <v>252</v>
      </c>
      <c r="K28" s="45" t="n">
        <f aca="false">H28+I28-J28</f>
        <v>1767.38465518303</v>
      </c>
      <c r="L28" s="46" t="n">
        <f aca="false">L27+K28</f>
        <v>16338.1145842829</v>
      </c>
    </row>
    <row r="29" customFormat="false" ht="18" hidden="false" customHeight="true" outlineLevel="0" collapsed="false">
      <c r="B29" s="35" t="n">
        <v>25</v>
      </c>
      <c r="C29" s="36" t="n">
        <f aca="false">2026+24</f>
        <v>2050</v>
      </c>
      <c r="D29" s="37" t="n">
        <f aca="false">'PV-Rechner'!C8*'PV-Rechner'!C9*(1-'PV-Rechner'!C26)^(24)</f>
        <v>8844.36876725055</v>
      </c>
      <c r="E29" s="37" t="n">
        <f aca="false">MIN(D29*'PV-Rechner'!C10,'PV-Rechner'!C22)</f>
        <v>3095.52906853769</v>
      </c>
      <c r="F29" s="37" t="n">
        <f aca="false">D29-E29</f>
        <v>5748.83969871285</v>
      </c>
      <c r="G29" s="38" t="n">
        <f aca="false">'PV-Rechner'!C18*(1+'PV-Rechner'!C20)^(24)</f>
        <v>0.514699919832072</v>
      </c>
      <c r="H29" s="39" t="n">
        <f aca="false">E29*G29</f>
        <v>1593.2685634142</v>
      </c>
      <c r="I29" s="39" t="n">
        <f aca="false">F29*'PV-Rechner'!C19</f>
        <v>447.25972855986</v>
      </c>
      <c r="J29" s="39" t="n">
        <f aca="false">('PV-Rechner'!C14+'PV-Rechner'!C15)*'PV-Rechner'!C16</f>
        <v>252</v>
      </c>
      <c r="K29" s="39" t="n">
        <f aca="false">H29+I29-J29</f>
        <v>1788.52829197406</v>
      </c>
      <c r="L29" s="46" t="n">
        <f aca="false">L28+K29</f>
        <v>18126.642876257</v>
      </c>
    </row>
    <row r="30" customFormat="false" ht="21.75" hidden="false" customHeight="true" outlineLevel="0" collapsed="false">
      <c r="B30" s="47" t="s">
        <v>71</v>
      </c>
      <c r="C30" s="48" t="s">
        <v>72</v>
      </c>
      <c r="D30" s="48"/>
      <c r="E30" s="48"/>
      <c r="F30" s="48"/>
      <c r="G30" s="48"/>
      <c r="H30" s="49" t="n">
        <f aca="false">SUM(H5:H29)</f>
        <v>33544.1788596691</v>
      </c>
      <c r="I30" s="49" t="n">
        <f aca="false">SUM(I5:I29)</f>
        <v>11882.4640165878</v>
      </c>
      <c r="J30" s="49" t="n">
        <f aca="false">SUM(J5:J29)</f>
        <v>6300</v>
      </c>
      <c r="K30" s="49" t="n">
        <f aca="false">SUM(K5:K29)</f>
        <v>39126.642876257</v>
      </c>
      <c r="L30" s="49" t="n">
        <f aca="false">L29</f>
        <v>18126.642876257</v>
      </c>
    </row>
  </sheetData>
  <mergeCells count="3">
    <mergeCell ref="B2:K2"/>
    <mergeCell ref="B3:K3"/>
    <mergeCell ref="C30:G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5" min="3" style="0" width="18"/>
    <col collapsed="false" customWidth="true" hidden="false" outlineLevel="0" max="6" min="6" style="0" width="5"/>
  </cols>
  <sheetData>
    <row r="2" customFormat="false" ht="31.5" hidden="false" customHeight="true" outlineLevel="0" collapsed="false">
      <c r="B2" s="33" t="s">
        <v>73</v>
      </c>
      <c r="C2" s="33"/>
      <c r="D2" s="33"/>
      <c r="E2" s="33"/>
    </row>
    <row r="3" customFormat="false" ht="21.75" hidden="false" customHeight="true" outlineLevel="0" collapsed="false">
      <c r="B3" s="2" t="s">
        <v>74</v>
      </c>
      <c r="C3" s="2"/>
      <c r="D3" s="2"/>
      <c r="E3" s="2"/>
    </row>
    <row r="4" customFormat="false" ht="30" hidden="false" customHeight="true" outlineLevel="0" collapsed="false">
      <c r="B4" s="47" t="s">
        <v>75</v>
      </c>
      <c r="C4" s="50" t="s">
        <v>76</v>
      </c>
      <c r="D4" s="51" t="s">
        <v>77</v>
      </c>
      <c r="E4" s="52" t="s">
        <v>78</v>
      </c>
    </row>
    <row r="5" customFormat="false" ht="15" hidden="false" customHeight="false" outlineLevel="0" collapsed="false">
      <c r="B5" s="7" t="s">
        <v>79</v>
      </c>
      <c r="C5" s="7"/>
      <c r="D5" s="7"/>
      <c r="E5" s="7"/>
    </row>
    <row r="6" customFormat="false" ht="15" hidden="false" customHeight="false" outlineLevel="0" collapsed="false">
      <c r="B6" s="53" t="s">
        <v>80</v>
      </c>
      <c r="C6" s="9" t="n">
        <v>5</v>
      </c>
      <c r="D6" s="9" t="n">
        <v>10.5</v>
      </c>
      <c r="E6" s="9" t="n">
        <v>15</v>
      </c>
    </row>
    <row r="7" customFormat="false" ht="15" hidden="false" customHeight="false" outlineLevel="0" collapsed="false">
      <c r="B7" s="8" t="s">
        <v>81</v>
      </c>
      <c r="C7" s="54" t="n">
        <v>8000</v>
      </c>
      <c r="D7" s="54" t="n">
        <v>14500</v>
      </c>
      <c r="E7" s="54" t="n">
        <v>21000</v>
      </c>
    </row>
    <row r="8" customFormat="false" ht="15" hidden="false" customHeight="false" outlineLevel="0" collapsed="false">
      <c r="B8" s="53" t="s">
        <v>82</v>
      </c>
      <c r="C8" s="54" t="n">
        <v>0</v>
      </c>
      <c r="D8" s="54" t="n">
        <v>6500</v>
      </c>
      <c r="E8" s="54" t="n">
        <v>8000</v>
      </c>
    </row>
    <row r="9" customFormat="false" ht="15" hidden="false" customHeight="false" outlineLevel="0" collapsed="false">
      <c r="B9" s="8" t="s">
        <v>83</v>
      </c>
      <c r="C9" s="11" t="n">
        <v>950</v>
      </c>
      <c r="D9" s="11" t="n">
        <v>950</v>
      </c>
      <c r="E9" s="11" t="n">
        <v>950</v>
      </c>
    </row>
    <row r="10" customFormat="false" ht="15" hidden="false" customHeight="false" outlineLevel="0" collapsed="false">
      <c r="B10" s="53" t="s">
        <v>13</v>
      </c>
      <c r="C10" s="12" t="n">
        <v>0.3</v>
      </c>
      <c r="D10" s="12" t="n">
        <v>0.4</v>
      </c>
      <c r="E10" s="12" t="n">
        <v>0.5</v>
      </c>
    </row>
    <row r="11" customFormat="false" ht="15" hidden="false" customHeight="false" outlineLevel="0" collapsed="false">
      <c r="B11" s="8" t="s">
        <v>84</v>
      </c>
      <c r="C11" s="55" t="n">
        <v>0.32</v>
      </c>
      <c r="D11" s="55" t="n">
        <v>0.32</v>
      </c>
      <c r="E11" s="55" t="n">
        <v>0.32</v>
      </c>
    </row>
    <row r="12" customFormat="false" ht="15" hidden="false" customHeight="false" outlineLevel="0" collapsed="false">
      <c r="B12" s="53" t="s">
        <v>85</v>
      </c>
      <c r="C12" s="56" t="n">
        <v>0.0778</v>
      </c>
      <c r="D12" s="56" t="n">
        <v>0.0778</v>
      </c>
      <c r="E12" s="56" t="n">
        <v>0.0778</v>
      </c>
    </row>
    <row r="13" customFormat="false" ht="15" hidden="false" customHeight="false" outlineLevel="0" collapsed="false">
      <c r="B13" s="8" t="s">
        <v>86</v>
      </c>
      <c r="C13" s="20" t="n">
        <v>0.012</v>
      </c>
      <c r="D13" s="20" t="n">
        <v>0.012</v>
      </c>
      <c r="E13" s="20" t="n">
        <v>0.012</v>
      </c>
    </row>
    <row r="14" customFormat="false" ht="15" hidden="false" customHeight="false" outlineLevel="0" collapsed="false">
      <c r="B14" s="53" t="s">
        <v>87</v>
      </c>
      <c r="C14" s="21" t="n">
        <v>3500</v>
      </c>
      <c r="D14" s="21" t="n">
        <v>4500</v>
      </c>
      <c r="E14" s="21" t="n">
        <v>6000</v>
      </c>
    </row>
    <row r="15" customFormat="false" ht="15" hidden="false" customHeight="false" outlineLevel="0" collapsed="false">
      <c r="B15" s="7" t="s">
        <v>88</v>
      </c>
      <c r="C15" s="7"/>
      <c r="D15" s="7"/>
      <c r="E15" s="7"/>
    </row>
    <row r="16" customFormat="false" ht="15" hidden="false" customHeight="false" outlineLevel="0" collapsed="false">
      <c r="B16" s="53" t="s">
        <v>89</v>
      </c>
      <c r="C16" s="57" t="n">
        <f aca="false">C6*C9</f>
        <v>4750</v>
      </c>
      <c r="D16" s="57" t="n">
        <f aca="false">D6*D9</f>
        <v>9975</v>
      </c>
      <c r="E16" s="57" t="n">
        <f aca="false">E6*E9</f>
        <v>14250</v>
      </c>
    </row>
    <row r="17" customFormat="false" ht="15" hidden="false" customHeight="false" outlineLevel="0" collapsed="false">
      <c r="B17" s="8" t="s">
        <v>90</v>
      </c>
      <c r="C17" s="58" t="n">
        <f aca="false">MIN(C16*C10,C14)</f>
        <v>1425</v>
      </c>
      <c r="D17" s="58" t="n">
        <f aca="false">MIN(D16*D10,D14)</f>
        <v>3990</v>
      </c>
      <c r="E17" s="58" t="n">
        <f aca="false">MIN(E16*E10,E14)</f>
        <v>6000</v>
      </c>
    </row>
    <row r="18" customFormat="false" ht="15" hidden="false" customHeight="false" outlineLevel="0" collapsed="false">
      <c r="B18" s="53" t="s">
        <v>91</v>
      </c>
      <c r="C18" s="57" t="n">
        <f aca="false">C16-C17</f>
        <v>3325</v>
      </c>
      <c r="D18" s="57" t="n">
        <f aca="false">D16-D17</f>
        <v>5985</v>
      </c>
      <c r="E18" s="57" t="n">
        <f aca="false">E16-E17</f>
        <v>8250</v>
      </c>
    </row>
    <row r="19" customFormat="false" ht="15" hidden="false" customHeight="false" outlineLevel="0" collapsed="false">
      <c r="B19" s="8" t="s">
        <v>92</v>
      </c>
      <c r="C19" s="59" t="n">
        <f aca="false">C17*C11</f>
        <v>456</v>
      </c>
      <c r="D19" s="59" t="n">
        <f aca="false">D17*D11</f>
        <v>1276.8</v>
      </c>
      <c r="E19" s="59" t="n">
        <f aca="false">E17*E11</f>
        <v>1920</v>
      </c>
    </row>
    <row r="20" customFormat="false" ht="15" hidden="false" customHeight="false" outlineLevel="0" collapsed="false">
      <c r="B20" s="53" t="s">
        <v>93</v>
      </c>
      <c r="C20" s="60" t="n">
        <f aca="false">C17*C12</f>
        <v>110.865</v>
      </c>
      <c r="D20" s="60" t="n">
        <f aca="false">D17*D12</f>
        <v>310.422</v>
      </c>
      <c r="E20" s="60" t="n">
        <f aca="false">E17*E12</f>
        <v>466.8</v>
      </c>
    </row>
    <row r="21" customFormat="false" ht="15" hidden="false" customHeight="false" outlineLevel="0" collapsed="false">
      <c r="B21" s="8" t="s">
        <v>94</v>
      </c>
      <c r="C21" s="59" t="n">
        <f aca="false">(C7+C8)*C13</f>
        <v>96</v>
      </c>
      <c r="D21" s="59" t="n">
        <f aca="false">(D7+D8)*D13</f>
        <v>252</v>
      </c>
      <c r="E21" s="59" t="n">
        <f aca="false">(E7+E8)*E13</f>
        <v>348</v>
      </c>
    </row>
    <row r="22" customFormat="false" ht="15" hidden="false" customHeight="false" outlineLevel="0" collapsed="false">
      <c r="B22" s="53" t="s">
        <v>95</v>
      </c>
      <c r="C22" s="60" t="n">
        <f aca="false">C19+C20-C21</f>
        <v>470.865</v>
      </c>
      <c r="D22" s="60" t="n">
        <f aca="false">D19+D20-D21</f>
        <v>1335.222</v>
      </c>
      <c r="E22" s="60" t="n">
        <f aca="false">E19+E20-E21</f>
        <v>2038.8</v>
      </c>
    </row>
    <row r="23" customFormat="false" ht="15" hidden="false" customHeight="false" outlineLevel="0" collapsed="false">
      <c r="B23" s="8" t="s">
        <v>96</v>
      </c>
      <c r="C23" s="59" t="n">
        <f aca="false">C7+C8</f>
        <v>8000</v>
      </c>
      <c r="D23" s="59" t="n">
        <f aca="false">D7+D8</f>
        <v>21000</v>
      </c>
      <c r="E23" s="59" t="n">
        <f aca="false">E7+E8</f>
        <v>29000</v>
      </c>
    </row>
    <row r="24" customFormat="false" ht="15" hidden="false" customHeight="false" outlineLevel="0" collapsed="false">
      <c r="B24" s="53" t="s">
        <v>97</v>
      </c>
      <c r="C24" s="61" t="n">
        <f aca="false">IFERROR(C23/C22,0)</f>
        <v>16.990007751691</v>
      </c>
      <c r="D24" s="61" t="n">
        <f aca="false">IFERROR(D23/D22,0)</f>
        <v>15.7277216822371</v>
      </c>
      <c r="E24" s="61" t="n">
        <f aca="false">IFERROR(E23/E22,0)</f>
        <v>14.2240533647243</v>
      </c>
    </row>
    <row r="25" customFormat="false" ht="15" hidden="false" customHeight="false" outlineLevel="0" collapsed="false">
      <c r="B25" s="8" t="s">
        <v>98</v>
      </c>
      <c r="C25" s="62" t="n">
        <f aca="false">IFERROR(C22/C23,0)</f>
        <v>0.058858125</v>
      </c>
      <c r="D25" s="62" t="n">
        <f aca="false">IFERROR(D22/D23,0)</f>
        <v>0.063582</v>
      </c>
      <c r="E25" s="62" t="n">
        <f aca="false">IFERROR(E22/E23,0)</f>
        <v>0.0703034482758621</v>
      </c>
    </row>
    <row r="26" customFormat="false" ht="15" hidden="false" customHeight="false" outlineLevel="0" collapsed="false">
      <c r="B26" s="53" t="s">
        <v>99</v>
      </c>
      <c r="C26" s="63" t="n">
        <f aca="false">C22*25-C23</f>
        <v>3771.625</v>
      </c>
      <c r="D26" s="63" t="n">
        <f aca="false">D22*25-D23</f>
        <v>12380.55</v>
      </c>
      <c r="E26" s="63" t="n">
        <f aca="false">E22*25-E23</f>
        <v>21970</v>
      </c>
    </row>
  </sheetData>
  <mergeCells count="4">
    <mergeCell ref="B2:E2"/>
    <mergeCell ref="B3:E3"/>
    <mergeCell ref="B5:E5"/>
    <mergeCell ref="B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5"/>
  </cols>
  <sheetData>
    <row r="2" customFormat="false" ht="31.5" hidden="false" customHeight="true" outlineLevel="0" collapsed="false">
      <c r="B2" s="33" t="s">
        <v>100</v>
      </c>
      <c r="C2" s="33"/>
    </row>
    <row r="4" customFormat="false" ht="15" hidden="false" customHeight="false" outlineLevel="0" collapsed="false">
      <c r="B4" s="64" t="s">
        <v>101</v>
      </c>
      <c r="C4" s="64"/>
    </row>
    <row r="5" customFormat="false" ht="18" hidden="false" customHeight="true" outlineLevel="0" collapsed="false">
      <c r="B5" s="8" t="s">
        <v>102</v>
      </c>
      <c r="C5" s="65" t="s">
        <v>103</v>
      </c>
    </row>
    <row r="7" customFormat="false" ht="15" hidden="false" customHeight="false" outlineLevel="0" collapsed="false">
      <c r="B7" s="64" t="s">
        <v>104</v>
      </c>
      <c r="C7" s="64"/>
    </row>
    <row r="8" customFormat="false" ht="18" hidden="false" customHeight="true" outlineLevel="0" collapsed="false">
      <c r="B8" s="53" t="s">
        <v>43</v>
      </c>
      <c r="C8" s="66" t="s">
        <v>105</v>
      </c>
    </row>
    <row r="10" customFormat="false" ht="15" hidden="false" customHeight="false" outlineLevel="0" collapsed="false">
      <c r="B10" s="64" t="s">
        <v>106</v>
      </c>
      <c r="C10" s="64"/>
    </row>
    <row r="11" customFormat="false" ht="18" hidden="false" customHeight="true" outlineLevel="0" collapsed="false">
      <c r="B11" s="8" t="s">
        <v>107</v>
      </c>
      <c r="C11" s="65" t="s">
        <v>108</v>
      </c>
    </row>
    <row r="13" customFormat="false" ht="15" hidden="false" customHeight="false" outlineLevel="0" collapsed="false">
      <c r="B13" s="64" t="s">
        <v>109</v>
      </c>
      <c r="C13" s="64"/>
    </row>
    <row r="14" customFormat="false" ht="18" hidden="false" customHeight="true" outlineLevel="0" collapsed="false">
      <c r="B14" s="53" t="s">
        <v>110</v>
      </c>
      <c r="C14" s="66" t="s">
        <v>111</v>
      </c>
    </row>
    <row r="16" customFormat="false" ht="15" hidden="false" customHeight="false" outlineLevel="0" collapsed="false">
      <c r="B16" s="64" t="s">
        <v>112</v>
      </c>
      <c r="C16" s="64"/>
    </row>
    <row r="17" customFormat="false" ht="18" hidden="false" customHeight="true" outlineLevel="0" collapsed="false">
      <c r="B17" s="8" t="s">
        <v>113</v>
      </c>
      <c r="C17" s="65" t="s">
        <v>114</v>
      </c>
    </row>
  </sheetData>
  <mergeCells count="6">
    <mergeCell ref="B2:C2"/>
    <mergeCell ref="B4:C4"/>
    <mergeCell ref="B7:C7"/>
    <mergeCell ref="B10:C10"/>
    <mergeCell ref="B13:C13"/>
    <mergeCell ref="B16:C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2026-03-15T08:27:37Z</dcterms:created>
  <dc:creator>openpyxl</dc:creator>
  <dc:description/>
  <dc:language>en-US</dc:language>
  <cp:lastModifiedBy/>
  <dcterms:modified xsi:type="dcterms:W3CDTF">2026-03-15T08:27:41Z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