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V-Rechner" sheetId="1" state="visible" r:id="rId1"/>
    <sheet xmlns:r="http://schemas.openxmlformats.org/officeDocument/2006/relationships" name="20-Jahre Prognose" sheetId="2" state="visible" r:id="rId2"/>
    <sheet xmlns:r="http://schemas.openxmlformats.org/officeDocument/2006/relationships" name="Einspeisevergütung" sheetId="3" state="visible" r:id="rId3"/>
    <sheet xmlns:r="http://schemas.openxmlformats.org/officeDocument/2006/relationships" name="Regionale Erträge" sheetId="4" state="visible" r:id="rId4"/>
    <sheet xmlns:r="http://schemas.openxmlformats.org/officeDocument/2006/relationships" name="Eigenverbrauch" sheetId="5" state="visible" r:id="rId5"/>
    <sheet xmlns:r="http://schemas.openxmlformats.org/officeDocument/2006/relationships" name="Amort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FFFFFF"/>
      <sz val="12"/>
    </font>
    <font>
      <b val="1"/>
      <color rgb="00073763"/>
      <sz val="14"/>
    </font>
    <font>
      <b val="1"/>
      <color rgb="00FFFFFF"/>
    </font>
    <font>
      <color rgb="000000FF"/>
    </font>
    <font>
      <b val="1"/>
      <color rgb="00FFFFFF"/>
      <sz val="16"/>
    </font>
    <font>
      <b val="1"/>
      <color rgb="00FFFFFF"/>
      <sz val="9"/>
    </font>
    <font>
      <b val="1"/>
    </font>
    <font>
      <b val="1"/>
      <color rgb="004CAF50"/>
    </font>
    <font>
      <b val="1"/>
      <color rgb="00FFFFFF"/>
      <sz val="14"/>
    </font>
    <font>
      <b val="1"/>
      <color rgb="00FF0000"/>
    </font>
    <font>
      <color rgb="000000FF"/>
      <u val="single"/>
    </font>
    <font>
      <i val="1"/>
      <sz val="11"/>
    </font>
  </fonts>
  <fills count="11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2196F3"/>
      </patternFill>
    </fill>
    <fill>
      <patternFill patternType="solid">
        <fgColor rgb="00FFFF00"/>
      </patternFill>
    </fill>
    <fill>
      <patternFill patternType="solid">
        <fgColor rgb="004CAF50"/>
      </patternFill>
    </fill>
    <fill>
      <patternFill patternType="solid">
        <fgColor rgb="00E2F0D9"/>
      </patternFill>
    </fill>
    <fill>
      <patternFill patternType="solid">
        <fgColor rgb="00F8F9FA"/>
      </patternFill>
    </fill>
    <fill>
      <patternFill patternType="solid">
        <fgColor rgb="00FF9800"/>
      </patternFill>
    </fill>
    <fill>
      <patternFill patternType="solid">
        <fgColor rgb="009C27B0"/>
      </patternFill>
    </fill>
    <fill>
      <patternFill patternType="solid">
        <f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/>
    </xf>
    <xf numFmtId="0" fontId="0" fillId="0" borderId="1" pivotButton="0" quotePrefix="0" xfId="0"/>
    <xf numFmtId="0" fontId="5" fillId="4" borderId="1" applyAlignment="1" pivotButton="0" quotePrefix="0" xfId="0">
      <alignment horizontal="center"/>
    </xf>
    <xf numFmtId="0" fontId="4" fillId="5" borderId="1" applyAlignment="1" pivotButton="0" quotePrefix="0" xfId="0">
      <alignment horizontal="center"/>
    </xf>
    <xf numFmtId="0" fontId="0" fillId="6" borderId="1" applyAlignment="1" pivotButton="0" quotePrefix="0" xfId="0">
      <alignment horizontal="center"/>
    </xf>
    <xf numFmtId="0" fontId="6" fillId="2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0" fillId="7" borderId="1" pivotButton="0" quotePrefix="0" xfId="0"/>
    <xf numFmtId="0" fontId="8" fillId="0" borderId="0" pivotButton="0" quotePrefix="0" xfId="0"/>
    <xf numFmtId="0" fontId="9" fillId="6" borderId="0" pivotButton="0" quotePrefix="0" xfId="0"/>
    <xf numFmtId="0" fontId="0" fillId="6" borderId="0" pivotButton="0" quotePrefix="0" xfId="0"/>
    <xf numFmtId="0" fontId="10" fillId="2" borderId="0" applyAlignment="1" pivotButton="0" quotePrefix="0" xfId="0">
      <alignment horizontal="center"/>
    </xf>
    <xf numFmtId="0" fontId="4" fillId="8" borderId="1" applyAlignment="1" pivotButton="0" quotePrefix="0" xfId="0">
      <alignment horizontal="center"/>
    </xf>
    <xf numFmtId="0" fontId="11" fillId="0" borderId="0" pivotButton="0" quotePrefix="0" xfId="0"/>
    <xf numFmtId="0" fontId="4" fillId="5" borderId="1" pivotButton="0" quotePrefix="0" xfId="0"/>
    <xf numFmtId="0" fontId="12" fillId="0" borderId="0" pivotButton="0" quotePrefix="0" xfId="0"/>
    <xf numFmtId="0" fontId="4" fillId="9" borderId="1" pivotButton="0" quotePrefix="0" xfId="0"/>
    <xf numFmtId="0" fontId="9" fillId="0" borderId="0" pivotButton="0" quotePrefix="0" xfId="0"/>
    <xf numFmtId="0" fontId="13" fillId="0" borderId="0" pivotButton="0" quotePrefix="0" xfId="0"/>
    <xf numFmtId="0" fontId="8" fillId="1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40" customWidth="1" min="4" max="4"/>
  </cols>
  <sheetData>
    <row r="1">
      <c r="A1" s="1" t="inlineStr">
        <is>
          <t>⚡ Photovoltaik-Rechner Excel</t>
        </is>
      </c>
    </row>
    <row r="2">
      <c r="A2" s="2" t="inlineStr">
        <is>
          <t>Wirtschaftlichkeitsberechnung für Ihre PV-Anlage</t>
        </is>
      </c>
    </row>
    <row r="4">
      <c r="A4" s="3" t="inlineStr">
        <is>
          <t>📊 EINGABEDATEN</t>
        </is>
      </c>
    </row>
    <row r="5">
      <c r="A5" s="4" t="inlineStr">
        <is>
          <t>Parameter</t>
        </is>
      </c>
      <c r="B5" s="4" t="inlineStr">
        <is>
          <t>Wert</t>
        </is>
      </c>
      <c r="C5" s="4" t="inlineStr">
        <is>
          <t>Einheit</t>
        </is>
      </c>
      <c r="D5" s="4" t="inlineStr">
        <is>
          <t>Beschreibung</t>
        </is>
      </c>
    </row>
    <row r="6">
      <c r="A6" s="5" t="inlineStr">
        <is>
          <t>Anlagengröße</t>
        </is>
      </c>
      <c r="B6" s="6" t="n">
        <v>10</v>
      </c>
      <c r="C6" s="5" t="inlineStr">
        <is>
          <t>kWp</t>
        </is>
      </c>
      <c r="D6" s="5" t="inlineStr">
        <is>
          <t>Leistung der PV-Anlage</t>
        </is>
      </c>
    </row>
    <row r="7">
      <c r="A7" s="5" t="inlineStr">
        <is>
          <t>Jahresstromverbrauch</t>
        </is>
      </c>
      <c r="B7" s="6" t="n">
        <v>4500</v>
      </c>
      <c r="C7" s="5" t="inlineStr">
        <is>
          <t>kWh</t>
        </is>
      </c>
      <c r="D7" s="5" t="inlineStr">
        <is>
          <t>Ihr Haushaltsstromverbrauch</t>
        </is>
      </c>
    </row>
    <row r="8">
      <c r="A8" s="5" t="inlineStr">
        <is>
          <t>Investitionskosten</t>
        </is>
      </c>
      <c r="B8" s="6" t="n">
        <v>15000</v>
      </c>
      <c r="C8" s="5" t="inlineStr">
        <is>
          <t>€</t>
        </is>
      </c>
      <c r="D8" s="5" t="inlineStr">
        <is>
          <t>Gesamtkosten inkl. Installation</t>
        </is>
      </c>
    </row>
    <row r="9">
      <c r="A9" s="5" t="inlineStr">
        <is>
          <t>Strompreis Netzbezug</t>
        </is>
      </c>
      <c r="B9" s="6" t="n">
        <v>30</v>
      </c>
      <c r="C9" s="5" t="inlineStr">
        <is>
          <t>ct/kWh</t>
        </is>
      </c>
      <c r="D9" s="5" t="inlineStr">
        <is>
          <t>Aktueller Strompreis vom Anbieter</t>
        </is>
      </c>
    </row>
    <row r="10">
      <c r="A10" s="5" t="inlineStr">
        <is>
          <t>Spezifischer Ertrag</t>
        </is>
      </c>
      <c r="B10" s="6" t="n">
        <v>950</v>
      </c>
      <c r="C10" s="5" t="inlineStr">
        <is>
          <t>kWh/kWp</t>
        </is>
      </c>
      <c r="D10" s="5" t="inlineStr">
        <is>
          <t>Regional: 900 (Nord) - 1150 (Süd)</t>
        </is>
      </c>
    </row>
    <row r="11">
      <c r="A11" s="5" t="inlineStr">
        <is>
          <t>Eigenverbrauchsquote ohne Speicher</t>
        </is>
      </c>
      <c r="B11" s="6" t="n">
        <v>30</v>
      </c>
      <c r="C11" s="5" t="inlineStr">
        <is>
          <t>%</t>
        </is>
      </c>
      <c r="D11" s="5" t="inlineStr">
        <is>
          <t>Typisch: 20-30% ohne Speicher</t>
        </is>
      </c>
    </row>
    <row r="12">
      <c r="A12" s="5" t="inlineStr">
        <is>
          <t>Speicherkapazität</t>
        </is>
      </c>
      <c r="B12" s="6" t="n">
        <v>0</v>
      </c>
      <c r="C12" s="5" t="inlineStr">
        <is>
          <t>kWh</t>
        </is>
      </c>
      <c r="D12" s="5" t="inlineStr">
        <is>
          <t>0 = kein Speicher</t>
        </is>
      </c>
    </row>
    <row r="13">
      <c r="A13" s="5" t="inlineStr">
        <is>
          <t>Speicherkosten</t>
        </is>
      </c>
      <c r="B13" s="6" t="n">
        <v>0</v>
      </c>
      <c r="C13" s="5" t="inlineStr">
        <is>
          <t>€</t>
        </is>
      </c>
      <c r="D13" s="5" t="inlineStr">
        <is>
          <t>Zusätzliche Kosten für Speicher</t>
        </is>
      </c>
    </row>
    <row r="14">
      <c r="A14" s="5" t="inlineStr">
        <is>
          <t>Einspeisevergütung (Teileinspeisung)</t>
        </is>
      </c>
      <c r="B14" s="6" t="n">
        <v>7.86</v>
      </c>
      <c r="C14" s="5" t="inlineStr">
        <is>
          <t>ct/kWh</t>
        </is>
      </c>
      <c r="D14" s="5" t="inlineStr">
        <is>
          <t>Stand Aug 2025, bis 10 kWp</t>
        </is>
      </c>
    </row>
    <row r="15">
      <c r="A15" s="5" t="inlineStr">
        <is>
          <t>Einspeisevergütung (Volleinspeisung)</t>
        </is>
      </c>
      <c r="B15" s="6" t="n">
        <v>12.47</v>
      </c>
      <c r="C15" s="5" t="inlineStr">
        <is>
          <t>ct/kWh</t>
        </is>
      </c>
      <c r="D15" s="5" t="inlineStr">
        <is>
          <t>Stand Aug 2025, bis 10 kWp</t>
        </is>
      </c>
    </row>
    <row r="16">
      <c r="A16" s="5" t="inlineStr">
        <is>
          <t>Modus (1=Teil, 2=Voll)</t>
        </is>
      </c>
      <c r="B16" s="6" t="n">
        <v>1</v>
      </c>
      <c r="C16" s="5" t="inlineStr">
        <is>
          <t>-</t>
        </is>
      </c>
      <c r="D16" s="5" t="inlineStr">
        <is>
          <t>1 = Teileinspeisung, 2 = Volleinspeisung</t>
        </is>
      </c>
    </row>
    <row r="17">
      <c r="A17" s="5" t="inlineStr">
        <is>
          <t>Jährliche Betriebskosten</t>
        </is>
      </c>
      <c r="B17" s="6" t="n">
        <v>1.5</v>
      </c>
      <c r="C17" s="5" t="inlineStr">
        <is>
          <t>%</t>
        </is>
      </c>
      <c r="D17" s="5" t="inlineStr">
        <is>
          <t>Anteil der Investitionskosten</t>
        </is>
      </c>
    </row>
    <row r="18">
      <c r="A18" s="5" t="inlineStr">
        <is>
          <t>Jährliche Strompreissteigerung</t>
        </is>
      </c>
      <c r="B18" s="6" t="n">
        <v>3</v>
      </c>
      <c r="C18" s="5" t="inlineStr">
        <is>
          <t>%</t>
        </is>
      </c>
      <c r="D18" s="5" t="inlineStr">
        <is>
          <t>Prognose für Strompreisentwicklung</t>
        </is>
      </c>
    </row>
    <row r="19">
      <c r="A19" s="5" t="inlineStr">
        <is>
          <t>Degradation Module</t>
        </is>
      </c>
      <c r="B19" s="6" t="n">
        <v>0.5</v>
      </c>
      <c r="C19" s="5" t="inlineStr">
        <is>
          <t>%</t>
        </is>
      </c>
      <c r="D19" s="5" t="inlineStr">
        <is>
          <t>Jährlicher Leistungsverlust der Module</t>
        </is>
      </c>
    </row>
    <row r="22">
      <c r="A22" s="3" t="inlineStr">
        <is>
          <t>📈 BERECHNUNGSERGEBNISSE</t>
        </is>
      </c>
    </row>
    <row r="23">
      <c r="A23" s="7" t="inlineStr">
        <is>
          <t>Kennzahl</t>
        </is>
      </c>
      <c r="B23" s="7" t="inlineStr">
        <is>
          <t>Formel</t>
        </is>
      </c>
      <c r="C23" s="7" t="inlineStr">
        <is>
          <t>Ergebnis</t>
        </is>
      </c>
      <c r="D23" s="7" t="inlineStr">
        <is>
          <t>Einheit</t>
        </is>
      </c>
    </row>
    <row r="24">
      <c r="A24" s="5" t="inlineStr">
        <is>
          <t>Jährlicher Ertrag</t>
        </is>
      </c>
      <c r="B24" s="5">
        <f>B6*B10</f>
        <v/>
      </c>
      <c r="C24" s="8">
        <f>B6*B10</f>
        <v/>
      </c>
      <c r="D24" s="5" t="inlineStr">
        <is>
          <t>kWh</t>
        </is>
      </c>
    </row>
    <row r="25">
      <c r="A25" s="5" t="inlineStr">
        <is>
          <t>Eigenverbrauchsquote (angepasst)</t>
        </is>
      </c>
      <c r="B25" s="5">
        <f>IF(B12&gt;0,MIN(B11+20,70),B11)</f>
        <v/>
      </c>
      <c r="C25" s="8">
        <f>IF(B12&gt;0,MIN(B11+20,70),B11)</f>
        <v/>
      </c>
      <c r="D25" s="5" t="inlineStr">
        <is>
          <t>%</t>
        </is>
      </c>
    </row>
    <row r="26">
      <c r="A26" s="5" t="inlineStr">
        <is>
          <t>Eigenverbrauch (kWh)</t>
        </is>
      </c>
      <c r="B26" s="5">
        <f>MIN(C24*C25/100,B7)</f>
        <v/>
      </c>
      <c r="C26" s="8">
        <f>MIN(C24*C25/100,B7)</f>
        <v/>
      </c>
      <c r="D26" s="5" t="inlineStr">
        <is>
          <t>kWh</t>
        </is>
      </c>
    </row>
    <row r="27">
      <c r="A27" s="5" t="inlineStr">
        <is>
          <t>Netzeinspeisung</t>
        </is>
      </c>
      <c r="B27" s="5">
        <f>C24-C26</f>
        <v/>
      </c>
      <c r="C27" s="8">
        <f>C24-C26</f>
        <v/>
      </c>
      <c r="D27" s="5" t="inlineStr">
        <is>
          <t>kWh</t>
        </is>
      </c>
    </row>
    <row r="28">
      <c r="A28" s="5" t="inlineStr">
        <is>
          <t>Ersparnis durch Eigenverbrauch</t>
        </is>
      </c>
      <c r="B28" s="5">
        <f>C26*B9/100</f>
        <v/>
      </c>
      <c r="C28" s="8">
        <f>C26*B9/100</f>
        <v/>
      </c>
      <c r="D28" s="5" t="inlineStr">
        <is>
          <t>€/Jahr</t>
        </is>
      </c>
    </row>
    <row r="29">
      <c r="A29" s="5" t="inlineStr">
        <is>
          <t>Einnahmen durch Einspeisung</t>
        </is>
      </c>
      <c r="B29" s="5">
        <f>IF(B16=1,C27*B14/100,C24*B15/100)</f>
        <v/>
      </c>
      <c r="C29" s="8">
        <f>IF(B16=1,C27*B14/100,C24*B15/100)</f>
        <v/>
      </c>
      <c r="D29" s="5" t="inlineStr">
        <is>
          <t>€/Jahr</t>
        </is>
      </c>
    </row>
    <row r="30">
      <c r="A30" s="5" t="inlineStr">
        <is>
          <t>Gesamtertrag brutto</t>
        </is>
      </c>
      <c r="B30" s="5">
        <f>C28+C29</f>
        <v/>
      </c>
      <c r="C30" s="8">
        <f>C28+C29</f>
        <v/>
      </c>
      <c r="D30" s="5" t="inlineStr">
        <is>
          <t>€/Jahr</t>
        </is>
      </c>
    </row>
    <row r="31">
      <c r="A31" s="5" t="inlineStr">
        <is>
          <t>Jährliche Betriebskosten</t>
        </is>
      </c>
      <c r="B31" s="5">
        <f>(B8+B13)*B17/100</f>
        <v/>
      </c>
      <c r="C31" s="8">
        <f>(B8+B13)*B17/100</f>
        <v/>
      </c>
      <c r="D31" s="5" t="inlineStr">
        <is>
          <t>€/Jahr</t>
        </is>
      </c>
    </row>
    <row r="32">
      <c r="A32" s="5" t="inlineStr">
        <is>
          <t>Nettoertrag Jahr 1</t>
        </is>
      </c>
      <c r="B32" s="5">
        <f>C30-C31</f>
        <v/>
      </c>
      <c r="C32" s="8">
        <f>C30-C31</f>
        <v/>
      </c>
      <c r="D32" s="5" t="inlineStr">
        <is>
          <t>€/Jahr</t>
        </is>
      </c>
    </row>
    <row r="33">
      <c r="A33" s="5" t="inlineStr">
        <is>
          <t>Gesamtinvestition</t>
        </is>
      </c>
      <c r="B33" s="5">
        <f>B8+B13</f>
        <v/>
      </c>
      <c r="C33" s="8">
        <f>B8+B13</f>
        <v/>
      </c>
      <c r="D33" s="5" t="inlineStr">
        <is>
          <t>€</t>
        </is>
      </c>
    </row>
    <row r="34">
      <c r="A34" s="5" t="inlineStr">
        <is>
          <t>Einfache Amortisationszeit</t>
        </is>
      </c>
      <c r="B34" s="5">
        <f>C33/C32</f>
        <v/>
      </c>
      <c r="C34" s="8">
        <f>IF(C32&gt;0,C33/C32,0)</f>
        <v/>
      </c>
      <c r="D34" s="5" t="inlineStr">
        <is>
          <t>Jahre</t>
        </is>
      </c>
    </row>
    <row r="35">
      <c r="A35" s="5" t="inlineStr">
        <is>
          <t>Rendite (vereinfacht)</t>
        </is>
      </c>
      <c r="B35" s="5">
        <f>C32/C33*100</f>
        <v/>
      </c>
      <c r="C35" s="8">
        <f>IF(C33&gt;0,C32/C33*100,0)</f>
        <v/>
      </c>
      <c r="D35" s="5" t="inlineStr">
        <is>
          <t>%</t>
        </is>
      </c>
    </row>
  </sheetData>
  <mergeCells count="4">
    <mergeCell ref="A2:F2"/>
    <mergeCell ref="A22:F22"/>
    <mergeCell ref="A1:F1"/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9" t="inlineStr">
        <is>
          <t>📅 20-Jahre Cashflow-Prognose</t>
        </is>
      </c>
    </row>
    <row r="3">
      <c r="A3" s="10" t="inlineStr">
        <is>
          <t>Jahr</t>
        </is>
      </c>
      <c r="B3" s="10" t="inlineStr">
        <is>
          <t>Ertrag (kWh)</t>
        </is>
      </c>
      <c r="C3" s="10" t="inlineStr">
        <is>
          <t>Eigenverbrauch (kWh)</t>
        </is>
      </c>
      <c r="D3" s="10" t="inlineStr">
        <is>
          <t>Einspeisung (kWh)</t>
        </is>
      </c>
      <c r="E3" s="10" t="inlineStr">
        <is>
          <t>Strompreis (ct)</t>
        </is>
      </c>
      <c r="F3" s="10" t="inlineStr">
        <is>
          <t>Ersparnis (€)</t>
        </is>
      </c>
      <c r="G3" s="10" t="inlineStr">
        <is>
          <t>Einspeisung (€)</t>
        </is>
      </c>
      <c r="H3" s="10" t="inlineStr">
        <is>
          <t>Brutto (€)</t>
        </is>
      </c>
      <c r="I3" s="10" t="inlineStr">
        <is>
          <t>Betriebskosten (€)</t>
        </is>
      </c>
      <c r="J3" s="10" t="inlineStr">
        <is>
          <t>Netto (€)</t>
        </is>
      </c>
      <c r="K3" s="10" t="inlineStr">
        <is>
          <t>Kumuliert (€)</t>
        </is>
      </c>
    </row>
    <row r="4">
      <c r="A4" s="11" t="n">
        <v>0</v>
      </c>
      <c r="B4" s="11" t="n">
        <v>0</v>
      </c>
      <c r="C4" s="11" t="n">
        <v>0</v>
      </c>
      <c r="D4" s="11" t="n">
        <v>0</v>
      </c>
      <c r="E4" s="11" t="n">
        <v>0</v>
      </c>
      <c r="F4" s="11" t="n">
        <v>0</v>
      </c>
      <c r="G4" s="11" t="n">
        <v>0</v>
      </c>
      <c r="H4" s="11" t="n">
        <v>0</v>
      </c>
      <c r="I4" s="11" t="n">
        <v>0</v>
      </c>
      <c r="J4" s="11" t="n">
        <v>0</v>
      </c>
      <c r="K4" s="11">
        <f>-'PV-Rechner'!C33</f>
        <v/>
      </c>
    </row>
    <row r="5">
      <c r="A5" s="5" t="n">
        <v>1</v>
      </c>
      <c r="B5" s="5">
        <f>'PV-Rechner'!C24*(1-'PV-Rechner'!B19/100)^1</f>
        <v/>
      </c>
      <c r="C5" s="5">
        <f>MIN(B5*'PV-Rechner'!C25/100,'PV-Rechner'!B7)</f>
        <v/>
      </c>
      <c r="D5" s="5">
        <f>B5-C5</f>
        <v/>
      </c>
      <c r="E5" s="5">
        <f>'PV-Rechner'!B9*(1+'PV-Rechner'!B18/100)^1</f>
        <v/>
      </c>
      <c r="F5" s="5">
        <f>C5*E5/100</f>
        <v/>
      </c>
      <c r="G5" s="5">
        <f>IF('PV-Rechner'!B16=1,D5*'PV-Rechner'!B14/100,B5*'PV-Rechner'!B15/100)</f>
        <v/>
      </c>
      <c r="H5" s="5">
        <f>F5+G5</f>
        <v/>
      </c>
      <c r="I5" s="5">
        <f>'PV-Rechner'!C31</f>
        <v/>
      </c>
      <c r="J5" s="5">
        <f>H5-I5</f>
        <v/>
      </c>
      <c r="K5" s="5">
        <f>K4+J5</f>
        <v/>
      </c>
    </row>
    <row r="6">
      <c r="A6" s="11" t="n">
        <v>2</v>
      </c>
      <c r="B6" s="11">
        <f>'PV-Rechner'!C24*(1-'PV-Rechner'!B19/100)^2</f>
        <v/>
      </c>
      <c r="C6" s="11">
        <f>MIN(B6*'PV-Rechner'!C25/100,'PV-Rechner'!B7)</f>
        <v/>
      </c>
      <c r="D6" s="11">
        <f>B6-C6</f>
        <v/>
      </c>
      <c r="E6" s="11">
        <f>'PV-Rechner'!B9*(1+'PV-Rechner'!B18/100)^2</f>
        <v/>
      </c>
      <c r="F6" s="11">
        <f>C6*E6/100</f>
        <v/>
      </c>
      <c r="G6" s="11">
        <f>IF('PV-Rechner'!B16=1,D6*'PV-Rechner'!B14/100,B6*'PV-Rechner'!B15/100)</f>
        <v/>
      </c>
      <c r="H6" s="11">
        <f>F6+G6</f>
        <v/>
      </c>
      <c r="I6" s="11">
        <f>'PV-Rechner'!C31</f>
        <v/>
      </c>
      <c r="J6" s="11">
        <f>H6-I6</f>
        <v/>
      </c>
      <c r="K6" s="11">
        <f>K5+J6</f>
        <v/>
      </c>
    </row>
    <row r="7">
      <c r="A7" s="5" t="n">
        <v>3</v>
      </c>
      <c r="B7" s="5">
        <f>'PV-Rechner'!C24*(1-'PV-Rechner'!B19/100)^3</f>
        <v/>
      </c>
      <c r="C7" s="5">
        <f>MIN(B7*'PV-Rechner'!C25/100,'PV-Rechner'!B7)</f>
        <v/>
      </c>
      <c r="D7" s="5">
        <f>B7-C7</f>
        <v/>
      </c>
      <c r="E7" s="5">
        <f>'PV-Rechner'!B9*(1+'PV-Rechner'!B18/100)^3</f>
        <v/>
      </c>
      <c r="F7" s="5">
        <f>C7*E7/100</f>
        <v/>
      </c>
      <c r="G7" s="5">
        <f>IF('PV-Rechner'!B16=1,D7*'PV-Rechner'!B14/100,B7*'PV-Rechner'!B15/100)</f>
        <v/>
      </c>
      <c r="H7" s="5">
        <f>F7+G7</f>
        <v/>
      </c>
      <c r="I7" s="5">
        <f>'PV-Rechner'!C31</f>
        <v/>
      </c>
      <c r="J7" s="5">
        <f>H7-I7</f>
        <v/>
      </c>
      <c r="K7" s="5">
        <f>K6+J7</f>
        <v/>
      </c>
    </row>
    <row r="8">
      <c r="A8" s="11" t="n">
        <v>4</v>
      </c>
      <c r="B8" s="11">
        <f>'PV-Rechner'!C24*(1-'PV-Rechner'!B19/100)^4</f>
        <v/>
      </c>
      <c r="C8" s="11">
        <f>MIN(B8*'PV-Rechner'!C25/100,'PV-Rechner'!B7)</f>
        <v/>
      </c>
      <c r="D8" s="11">
        <f>B8-C8</f>
        <v/>
      </c>
      <c r="E8" s="11">
        <f>'PV-Rechner'!B9*(1+'PV-Rechner'!B18/100)^4</f>
        <v/>
      </c>
      <c r="F8" s="11">
        <f>C8*E8/100</f>
        <v/>
      </c>
      <c r="G8" s="11">
        <f>IF('PV-Rechner'!B16=1,D8*'PV-Rechner'!B14/100,B8*'PV-Rechner'!B15/100)</f>
        <v/>
      </c>
      <c r="H8" s="11">
        <f>F8+G8</f>
        <v/>
      </c>
      <c r="I8" s="11">
        <f>'PV-Rechner'!C31</f>
        <v/>
      </c>
      <c r="J8" s="11">
        <f>H8-I8</f>
        <v/>
      </c>
      <c r="K8" s="11">
        <f>K7+J8</f>
        <v/>
      </c>
    </row>
    <row r="9">
      <c r="A9" s="5" t="n">
        <v>5</v>
      </c>
      <c r="B9" s="5">
        <f>'PV-Rechner'!C24*(1-'PV-Rechner'!B19/100)^5</f>
        <v/>
      </c>
      <c r="C9" s="5">
        <f>MIN(B9*'PV-Rechner'!C25/100,'PV-Rechner'!B7)</f>
        <v/>
      </c>
      <c r="D9" s="5">
        <f>B9-C9</f>
        <v/>
      </c>
      <c r="E9" s="5">
        <f>'PV-Rechner'!B9*(1+'PV-Rechner'!B18/100)^5</f>
        <v/>
      </c>
      <c r="F9" s="5">
        <f>C9*E9/100</f>
        <v/>
      </c>
      <c r="G9" s="5">
        <f>IF('PV-Rechner'!B16=1,D9*'PV-Rechner'!B14/100,B9*'PV-Rechner'!B15/100)</f>
        <v/>
      </c>
      <c r="H9" s="5">
        <f>F9+G9</f>
        <v/>
      </c>
      <c r="I9" s="5">
        <f>'PV-Rechner'!C31</f>
        <v/>
      </c>
      <c r="J9" s="5">
        <f>H9-I9</f>
        <v/>
      </c>
      <c r="K9" s="5">
        <f>K8+J9</f>
        <v/>
      </c>
    </row>
    <row r="10">
      <c r="A10" s="11" t="n">
        <v>6</v>
      </c>
      <c r="B10" s="11">
        <f>'PV-Rechner'!C24*(1-'PV-Rechner'!B19/100)^6</f>
        <v/>
      </c>
      <c r="C10" s="11">
        <f>MIN(B10*'PV-Rechner'!C25/100,'PV-Rechner'!B7)</f>
        <v/>
      </c>
      <c r="D10" s="11">
        <f>B10-C10</f>
        <v/>
      </c>
      <c r="E10" s="11">
        <f>'PV-Rechner'!B9*(1+'PV-Rechner'!B18/100)^6</f>
        <v/>
      </c>
      <c r="F10" s="11">
        <f>C10*E10/100</f>
        <v/>
      </c>
      <c r="G10" s="11">
        <f>IF('PV-Rechner'!B16=1,D10*'PV-Rechner'!B14/100,B10*'PV-Rechner'!B15/100)</f>
        <v/>
      </c>
      <c r="H10" s="11">
        <f>F10+G10</f>
        <v/>
      </c>
      <c r="I10" s="11">
        <f>'PV-Rechner'!C31</f>
        <v/>
      </c>
      <c r="J10" s="11">
        <f>H10-I10</f>
        <v/>
      </c>
      <c r="K10" s="11">
        <f>K9+J10</f>
        <v/>
      </c>
    </row>
    <row r="11">
      <c r="A11" s="5" t="n">
        <v>7</v>
      </c>
      <c r="B11" s="5">
        <f>'PV-Rechner'!C24*(1-'PV-Rechner'!B19/100)^7</f>
        <v/>
      </c>
      <c r="C11" s="5">
        <f>MIN(B11*'PV-Rechner'!C25/100,'PV-Rechner'!B7)</f>
        <v/>
      </c>
      <c r="D11" s="5">
        <f>B11-C11</f>
        <v/>
      </c>
      <c r="E11" s="5">
        <f>'PV-Rechner'!B9*(1+'PV-Rechner'!B18/100)^7</f>
        <v/>
      </c>
      <c r="F11" s="5">
        <f>C11*E11/100</f>
        <v/>
      </c>
      <c r="G11" s="5">
        <f>IF('PV-Rechner'!B16=1,D11*'PV-Rechner'!B14/100,B11*'PV-Rechner'!B15/100)</f>
        <v/>
      </c>
      <c r="H11" s="5">
        <f>F11+G11</f>
        <v/>
      </c>
      <c r="I11" s="5">
        <f>'PV-Rechner'!C31</f>
        <v/>
      </c>
      <c r="J11" s="5">
        <f>H11-I11</f>
        <v/>
      </c>
      <c r="K11" s="5">
        <f>K10+J11</f>
        <v/>
      </c>
    </row>
    <row r="12">
      <c r="A12" s="11" t="n">
        <v>8</v>
      </c>
      <c r="B12" s="11">
        <f>'PV-Rechner'!C24*(1-'PV-Rechner'!B19/100)^8</f>
        <v/>
      </c>
      <c r="C12" s="11">
        <f>MIN(B12*'PV-Rechner'!C25/100,'PV-Rechner'!B7)</f>
        <v/>
      </c>
      <c r="D12" s="11">
        <f>B12-C12</f>
        <v/>
      </c>
      <c r="E12" s="11">
        <f>'PV-Rechner'!B9*(1+'PV-Rechner'!B18/100)^8</f>
        <v/>
      </c>
      <c r="F12" s="11">
        <f>C12*E12/100</f>
        <v/>
      </c>
      <c r="G12" s="11">
        <f>IF('PV-Rechner'!B16=1,D12*'PV-Rechner'!B14/100,B12*'PV-Rechner'!B15/100)</f>
        <v/>
      </c>
      <c r="H12" s="11">
        <f>F12+G12</f>
        <v/>
      </c>
      <c r="I12" s="11">
        <f>'PV-Rechner'!C31</f>
        <v/>
      </c>
      <c r="J12" s="11">
        <f>H12-I12</f>
        <v/>
      </c>
      <c r="K12" s="11">
        <f>K11+J12</f>
        <v/>
      </c>
    </row>
    <row r="13">
      <c r="A13" s="5" t="n">
        <v>9</v>
      </c>
      <c r="B13" s="5">
        <f>'PV-Rechner'!C24*(1-'PV-Rechner'!B19/100)^9</f>
        <v/>
      </c>
      <c r="C13" s="5">
        <f>MIN(B13*'PV-Rechner'!C25/100,'PV-Rechner'!B7)</f>
        <v/>
      </c>
      <c r="D13" s="5">
        <f>B13-C13</f>
        <v/>
      </c>
      <c r="E13" s="5">
        <f>'PV-Rechner'!B9*(1+'PV-Rechner'!B18/100)^9</f>
        <v/>
      </c>
      <c r="F13" s="5">
        <f>C13*E13/100</f>
        <v/>
      </c>
      <c r="G13" s="5">
        <f>IF('PV-Rechner'!B16=1,D13*'PV-Rechner'!B14/100,B13*'PV-Rechner'!B15/100)</f>
        <v/>
      </c>
      <c r="H13" s="5">
        <f>F13+G13</f>
        <v/>
      </c>
      <c r="I13" s="5">
        <f>'PV-Rechner'!C31</f>
        <v/>
      </c>
      <c r="J13" s="5">
        <f>H13-I13</f>
        <v/>
      </c>
      <c r="K13" s="5">
        <f>K12+J13</f>
        <v/>
      </c>
    </row>
    <row r="14">
      <c r="A14" s="11" t="n">
        <v>10</v>
      </c>
      <c r="B14" s="11">
        <f>'PV-Rechner'!C24*(1-'PV-Rechner'!B19/100)^10</f>
        <v/>
      </c>
      <c r="C14" s="11">
        <f>MIN(B14*'PV-Rechner'!C25/100,'PV-Rechner'!B7)</f>
        <v/>
      </c>
      <c r="D14" s="11">
        <f>B14-C14</f>
        <v/>
      </c>
      <c r="E14" s="11">
        <f>'PV-Rechner'!B9*(1+'PV-Rechner'!B18/100)^10</f>
        <v/>
      </c>
      <c r="F14" s="11">
        <f>C14*E14/100</f>
        <v/>
      </c>
      <c r="G14" s="11">
        <f>IF('PV-Rechner'!B16=1,D14*'PV-Rechner'!B14/100,B14*'PV-Rechner'!B15/100)</f>
        <v/>
      </c>
      <c r="H14" s="11">
        <f>F14+G14</f>
        <v/>
      </c>
      <c r="I14" s="11">
        <f>'PV-Rechner'!C31</f>
        <v/>
      </c>
      <c r="J14" s="11">
        <f>H14-I14</f>
        <v/>
      </c>
      <c r="K14" s="11">
        <f>K13+J14</f>
        <v/>
      </c>
    </row>
    <row r="15">
      <c r="A15" s="5" t="n">
        <v>11</v>
      </c>
      <c r="B15" s="5">
        <f>'PV-Rechner'!C24*(1-'PV-Rechner'!B19/100)^11</f>
        <v/>
      </c>
      <c r="C15" s="5">
        <f>MIN(B15*'PV-Rechner'!C25/100,'PV-Rechner'!B7)</f>
        <v/>
      </c>
      <c r="D15" s="5">
        <f>B15-C15</f>
        <v/>
      </c>
      <c r="E15" s="5">
        <f>'PV-Rechner'!B9*(1+'PV-Rechner'!B18/100)^11</f>
        <v/>
      </c>
      <c r="F15" s="5">
        <f>C15*E15/100</f>
        <v/>
      </c>
      <c r="G15" s="5">
        <f>IF('PV-Rechner'!B16=1,D15*'PV-Rechner'!B14/100,B15*'PV-Rechner'!B15/100)</f>
        <v/>
      </c>
      <c r="H15" s="5">
        <f>F15+G15</f>
        <v/>
      </c>
      <c r="I15" s="5">
        <f>'PV-Rechner'!C31</f>
        <v/>
      </c>
      <c r="J15" s="5">
        <f>H15-I15</f>
        <v/>
      </c>
      <c r="K15" s="5">
        <f>K14+J15</f>
        <v/>
      </c>
    </row>
    <row r="16">
      <c r="A16" s="11" t="n">
        <v>12</v>
      </c>
      <c r="B16" s="11">
        <f>'PV-Rechner'!C24*(1-'PV-Rechner'!B19/100)^12</f>
        <v/>
      </c>
      <c r="C16" s="11">
        <f>MIN(B16*'PV-Rechner'!C25/100,'PV-Rechner'!B7)</f>
        <v/>
      </c>
      <c r="D16" s="11">
        <f>B16-C16</f>
        <v/>
      </c>
      <c r="E16" s="11">
        <f>'PV-Rechner'!B9*(1+'PV-Rechner'!B18/100)^12</f>
        <v/>
      </c>
      <c r="F16" s="11">
        <f>C16*E16/100</f>
        <v/>
      </c>
      <c r="G16" s="11">
        <f>IF('PV-Rechner'!B16=1,D16*'PV-Rechner'!B14/100,B16*'PV-Rechner'!B15/100)</f>
        <v/>
      </c>
      <c r="H16" s="11">
        <f>F16+G16</f>
        <v/>
      </c>
      <c r="I16" s="11">
        <f>'PV-Rechner'!C31</f>
        <v/>
      </c>
      <c r="J16" s="11">
        <f>H16-I16</f>
        <v/>
      </c>
      <c r="K16" s="11">
        <f>K15+J16</f>
        <v/>
      </c>
    </row>
    <row r="17">
      <c r="A17" s="5" t="n">
        <v>13</v>
      </c>
      <c r="B17" s="5">
        <f>'PV-Rechner'!C24*(1-'PV-Rechner'!B19/100)^13</f>
        <v/>
      </c>
      <c r="C17" s="5">
        <f>MIN(B17*'PV-Rechner'!C25/100,'PV-Rechner'!B7)</f>
        <v/>
      </c>
      <c r="D17" s="5">
        <f>B17-C17</f>
        <v/>
      </c>
      <c r="E17" s="5">
        <f>'PV-Rechner'!B9*(1+'PV-Rechner'!B18/100)^13</f>
        <v/>
      </c>
      <c r="F17" s="5">
        <f>C17*E17/100</f>
        <v/>
      </c>
      <c r="G17" s="5">
        <f>IF('PV-Rechner'!B16=1,D17*'PV-Rechner'!B14/100,B17*'PV-Rechner'!B15/100)</f>
        <v/>
      </c>
      <c r="H17" s="5">
        <f>F17+G17</f>
        <v/>
      </c>
      <c r="I17" s="5">
        <f>'PV-Rechner'!C31</f>
        <v/>
      </c>
      <c r="J17" s="5">
        <f>H17-I17</f>
        <v/>
      </c>
      <c r="K17" s="5">
        <f>K16+J17</f>
        <v/>
      </c>
    </row>
    <row r="18">
      <c r="A18" s="11" t="n">
        <v>14</v>
      </c>
      <c r="B18" s="11">
        <f>'PV-Rechner'!C24*(1-'PV-Rechner'!B19/100)^14</f>
        <v/>
      </c>
      <c r="C18" s="11">
        <f>MIN(B18*'PV-Rechner'!C25/100,'PV-Rechner'!B7)</f>
        <v/>
      </c>
      <c r="D18" s="11">
        <f>B18-C18</f>
        <v/>
      </c>
      <c r="E18" s="11">
        <f>'PV-Rechner'!B9*(1+'PV-Rechner'!B18/100)^14</f>
        <v/>
      </c>
      <c r="F18" s="11">
        <f>C18*E18/100</f>
        <v/>
      </c>
      <c r="G18" s="11">
        <f>IF('PV-Rechner'!B16=1,D18*'PV-Rechner'!B14/100,B18*'PV-Rechner'!B15/100)</f>
        <v/>
      </c>
      <c r="H18" s="11">
        <f>F18+G18</f>
        <v/>
      </c>
      <c r="I18" s="11">
        <f>'PV-Rechner'!C31</f>
        <v/>
      </c>
      <c r="J18" s="11">
        <f>H18-I18</f>
        <v/>
      </c>
      <c r="K18" s="11">
        <f>K17+J18</f>
        <v/>
      </c>
    </row>
    <row r="19">
      <c r="A19" s="5" t="n">
        <v>15</v>
      </c>
      <c r="B19" s="5">
        <f>'PV-Rechner'!C24*(1-'PV-Rechner'!B19/100)^15</f>
        <v/>
      </c>
      <c r="C19" s="5">
        <f>MIN(B19*'PV-Rechner'!C25/100,'PV-Rechner'!B7)</f>
        <v/>
      </c>
      <c r="D19" s="5">
        <f>B19-C19</f>
        <v/>
      </c>
      <c r="E19" s="5">
        <f>'PV-Rechner'!B9*(1+'PV-Rechner'!B18/100)^15</f>
        <v/>
      </c>
      <c r="F19" s="5">
        <f>C19*E19/100</f>
        <v/>
      </c>
      <c r="G19" s="5">
        <f>IF('PV-Rechner'!B16=1,D19*'PV-Rechner'!B14/100,B19*'PV-Rechner'!B15/100)</f>
        <v/>
      </c>
      <c r="H19" s="5">
        <f>F19+G19</f>
        <v/>
      </c>
      <c r="I19" s="5">
        <f>'PV-Rechner'!C31</f>
        <v/>
      </c>
      <c r="J19" s="5">
        <f>H19-I19</f>
        <v/>
      </c>
      <c r="K19" s="5">
        <f>K18+J19</f>
        <v/>
      </c>
    </row>
    <row r="20">
      <c r="A20" s="11" t="n">
        <v>16</v>
      </c>
      <c r="B20" s="11">
        <f>'PV-Rechner'!C24*(1-'PV-Rechner'!B19/100)^16</f>
        <v/>
      </c>
      <c r="C20" s="11">
        <f>MIN(B20*'PV-Rechner'!C25/100,'PV-Rechner'!B7)</f>
        <v/>
      </c>
      <c r="D20" s="11">
        <f>B20-C20</f>
        <v/>
      </c>
      <c r="E20" s="11">
        <f>'PV-Rechner'!B9*(1+'PV-Rechner'!B18/100)^16</f>
        <v/>
      </c>
      <c r="F20" s="11">
        <f>C20*E20/100</f>
        <v/>
      </c>
      <c r="G20" s="11">
        <f>IF('PV-Rechner'!B16=1,D20*'PV-Rechner'!B14/100,B20*'PV-Rechner'!B15/100)</f>
        <v/>
      </c>
      <c r="H20" s="11">
        <f>F20+G20</f>
        <v/>
      </c>
      <c r="I20" s="11">
        <f>'PV-Rechner'!C31</f>
        <v/>
      </c>
      <c r="J20" s="11">
        <f>H20-I20</f>
        <v/>
      </c>
      <c r="K20" s="11">
        <f>K19+J20</f>
        <v/>
      </c>
    </row>
    <row r="21">
      <c r="A21" s="5" t="n">
        <v>17</v>
      </c>
      <c r="B21" s="5">
        <f>'PV-Rechner'!C24*(1-'PV-Rechner'!B19/100)^17</f>
        <v/>
      </c>
      <c r="C21" s="5">
        <f>MIN(B21*'PV-Rechner'!C25/100,'PV-Rechner'!B7)</f>
        <v/>
      </c>
      <c r="D21" s="5">
        <f>B21-C21</f>
        <v/>
      </c>
      <c r="E21" s="5">
        <f>'PV-Rechner'!B9*(1+'PV-Rechner'!B18/100)^17</f>
        <v/>
      </c>
      <c r="F21" s="5">
        <f>C21*E21/100</f>
        <v/>
      </c>
      <c r="G21" s="5">
        <f>IF('PV-Rechner'!B16=1,D21*'PV-Rechner'!B14/100,B21*'PV-Rechner'!B15/100)</f>
        <v/>
      </c>
      <c r="H21" s="5">
        <f>F21+G21</f>
        <v/>
      </c>
      <c r="I21" s="5">
        <f>'PV-Rechner'!C31</f>
        <v/>
      </c>
      <c r="J21" s="5">
        <f>H21-I21</f>
        <v/>
      </c>
      <c r="K21" s="5">
        <f>K20+J21</f>
        <v/>
      </c>
    </row>
    <row r="22">
      <c r="A22" s="11" t="n">
        <v>18</v>
      </c>
      <c r="B22" s="11">
        <f>'PV-Rechner'!C24*(1-'PV-Rechner'!B19/100)^18</f>
        <v/>
      </c>
      <c r="C22" s="11">
        <f>MIN(B22*'PV-Rechner'!C25/100,'PV-Rechner'!B7)</f>
        <v/>
      </c>
      <c r="D22" s="11">
        <f>B22-C22</f>
        <v/>
      </c>
      <c r="E22" s="11">
        <f>'PV-Rechner'!B9*(1+'PV-Rechner'!B18/100)^18</f>
        <v/>
      </c>
      <c r="F22" s="11">
        <f>C22*E22/100</f>
        <v/>
      </c>
      <c r="G22" s="11">
        <f>IF('PV-Rechner'!B16=1,D22*'PV-Rechner'!B14/100,B22*'PV-Rechner'!B15/100)</f>
        <v/>
      </c>
      <c r="H22" s="11">
        <f>F22+G22</f>
        <v/>
      </c>
      <c r="I22" s="11">
        <f>'PV-Rechner'!C31</f>
        <v/>
      </c>
      <c r="J22" s="11">
        <f>H22-I22</f>
        <v/>
      </c>
      <c r="K22" s="11">
        <f>K21+J22</f>
        <v/>
      </c>
    </row>
    <row r="23">
      <c r="A23" s="5" t="n">
        <v>19</v>
      </c>
      <c r="B23" s="5">
        <f>'PV-Rechner'!C24*(1-'PV-Rechner'!B19/100)^19</f>
        <v/>
      </c>
      <c r="C23" s="5">
        <f>MIN(B23*'PV-Rechner'!C25/100,'PV-Rechner'!B7)</f>
        <v/>
      </c>
      <c r="D23" s="5">
        <f>B23-C23</f>
        <v/>
      </c>
      <c r="E23" s="5">
        <f>'PV-Rechner'!B9*(1+'PV-Rechner'!B18/100)^19</f>
        <v/>
      </c>
      <c r="F23" s="5">
        <f>C23*E23/100</f>
        <v/>
      </c>
      <c r="G23" s="5">
        <f>IF('PV-Rechner'!B16=1,D23*'PV-Rechner'!B14/100,B23*'PV-Rechner'!B15/100)</f>
        <v/>
      </c>
      <c r="H23" s="5">
        <f>F23+G23</f>
        <v/>
      </c>
      <c r="I23" s="5">
        <f>'PV-Rechner'!C31</f>
        <v/>
      </c>
      <c r="J23" s="5">
        <f>H23-I23</f>
        <v/>
      </c>
      <c r="K23" s="5">
        <f>K22+J23</f>
        <v/>
      </c>
    </row>
    <row r="24">
      <c r="A24" s="11" t="n">
        <v>20</v>
      </c>
      <c r="B24" s="11">
        <f>'PV-Rechner'!C24*(1-'PV-Rechner'!B19/100)^20</f>
        <v/>
      </c>
      <c r="C24" s="11">
        <f>MIN(B24*'PV-Rechner'!C25/100,'PV-Rechner'!B7)</f>
        <v/>
      </c>
      <c r="D24" s="11">
        <f>B24-C24</f>
        <v/>
      </c>
      <c r="E24" s="11">
        <f>'PV-Rechner'!B9*(1+'PV-Rechner'!B18/100)^20</f>
        <v/>
      </c>
      <c r="F24" s="11">
        <f>C24*E24/100</f>
        <v/>
      </c>
      <c r="G24" s="11">
        <f>IF('PV-Rechner'!B16=1,D24*'PV-Rechner'!B14/100,B24*'PV-Rechner'!B15/100)</f>
        <v/>
      </c>
      <c r="H24" s="11">
        <f>F24+G24</f>
        <v/>
      </c>
      <c r="I24" s="11">
        <f>'PV-Rechner'!C31</f>
        <v/>
      </c>
      <c r="J24" s="11">
        <f>H24-I24</f>
        <v/>
      </c>
      <c r="K24" s="11">
        <f>K23+J24</f>
        <v/>
      </c>
    </row>
    <row r="26">
      <c r="A26" s="12" t="inlineStr">
        <is>
          <t>Gesamtertrag nach 20 Jahren:</t>
        </is>
      </c>
      <c r="K26" s="13">
        <f>K24</f>
        <v/>
      </c>
    </row>
    <row r="28">
      <c r="A28" s="12" t="inlineStr">
        <is>
          <t>Break-Even Jahr (ca.):</t>
        </is>
      </c>
      <c r="B28" s="14">
        <f>MATCH(TRUE,K5:K24&gt;0,0)</f>
        <v/>
      </c>
    </row>
  </sheetData>
  <mergeCells count="2">
    <mergeCell ref="A26:H26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25" customWidth="1" min="3" max="3"/>
    <col width="30" customWidth="1" min="4" max="4"/>
  </cols>
  <sheetData>
    <row r="1">
      <c r="A1" s="15" t="inlineStr">
        <is>
          <t>💰 Einspeisevergütung August 2025 - Januar 2026</t>
        </is>
      </c>
    </row>
    <row r="3">
      <c r="A3" s="16" t="inlineStr">
        <is>
          <t>Anlagengröße</t>
        </is>
      </c>
      <c r="B3" s="16" t="inlineStr">
        <is>
          <t>Teileinspeisung (ct/kWh)</t>
        </is>
      </c>
      <c r="C3" s="16" t="inlineStr">
        <is>
          <t>Volleinspeisung (ct/kWh)</t>
        </is>
      </c>
      <c r="D3" s="16" t="inlineStr">
        <is>
          <t>Hinweis</t>
        </is>
      </c>
    </row>
    <row r="4">
      <c r="A4" s="5" t="inlineStr">
        <is>
          <t>bis 10 kWp</t>
        </is>
      </c>
      <c r="B4" s="5" t="n">
        <v>7.86</v>
      </c>
      <c r="C4" s="5" t="n">
        <v>12.47</v>
      </c>
      <c r="D4" s="5" t="inlineStr">
        <is>
          <t>Typische Haushaltsanlage</t>
        </is>
      </c>
    </row>
    <row r="5">
      <c r="A5" s="5" t="inlineStr">
        <is>
          <t>10-40 kWp</t>
        </is>
      </c>
      <c r="B5" s="5" t="n">
        <v>6.8</v>
      </c>
      <c r="C5" s="5" t="n">
        <v>10.45</v>
      </c>
      <c r="D5" s="5" t="inlineStr">
        <is>
          <t>Größere Anlagen</t>
        </is>
      </c>
    </row>
    <row r="7">
      <c r="A7" s="17" t="inlineStr">
        <is>
          <t>⚠️ Wichtig:</t>
        </is>
      </c>
    </row>
    <row r="8">
      <c r="A8" t="inlineStr">
        <is>
          <t>Die Einspeisevergütung wird halbjährlich um 1% gesenkt. Nächste Senkung: 1. Februar 2026.</t>
        </is>
      </c>
    </row>
    <row r="10">
      <c r="A10" s="12" t="inlineStr">
        <is>
          <t>Neue Regelungen seit März 2025:</t>
        </is>
      </c>
    </row>
    <row r="11">
      <c r="A11" t="inlineStr">
        <is>
          <t>• Negative Strompreise: Keine Vergütung wenn Börsenpreis negativ</t>
        </is>
      </c>
    </row>
    <row r="12">
      <c r="A12" t="inlineStr">
        <is>
          <t>• Smart Meter Pflicht: Ohne Smart Meter auf 60% Einspeiseleistung gedrosselt</t>
        </is>
      </c>
    </row>
    <row r="13">
      <c r="A13" t="inlineStr">
        <is>
          <t>• Kompensation: 20-jähriger Vergütungszeitraum wird um Phasen ohne Vergütung verlängert</t>
        </is>
      </c>
    </row>
  </sheetData>
  <mergeCells count="6">
    <mergeCell ref="A1:D1"/>
    <mergeCell ref="A8:D8"/>
    <mergeCell ref="A12:D12"/>
    <mergeCell ref="A11:D11"/>
    <mergeCell ref="A10:D10"/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15" t="inlineStr">
        <is>
          <t>☀️ Spezifische Erträge nach Region (kWh/kWp)</t>
        </is>
      </c>
    </row>
    <row r="3">
      <c r="A3" s="18" t="inlineStr">
        <is>
          <t>Stadt/Region</t>
        </is>
      </c>
      <c r="B3" s="18" t="inlineStr">
        <is>
          <t>Ertrag (kWh/kWp)</t>
        </is>
      </c>
      <c r="C3" s="18" t="inlineStr">
        <is>
          <t>Kategorie</t>
        </is>
      </c>
    </row>
    <row r="4">
      <c r="A4" s="5" t="inlineStr">
        <is>
          <t>Freiburg</t>
        </is>
      </c>
      <c r="B4" s="5" t="n">
        <v>1150</v>
      </c>
      <c r="C4" s="5" t="inlineStr">
        <is>
          <t>Sehr gut</t>
        </is>
      </c>
    </row>
    <row r="5">
      <c r="A5" s="5" t="inlineStr">
        <is>
          <t>München</t>
        </is>
      </c>
      <c r="B5" s="5" t="n">
        <v>1100</v>
      </c>
      <c r="C5" s="5" t="inlineStr">
        <is>
          <t>Sehr gut</t>
        </is>
      </c>
    </row>
    <row r="6">
      <c r="A6" s="5" t="inlineStr">
        <is>
          <t>Stuttgart</t>
        </is>
      </c>
      <c r="B6" s="5" t="n">
        <v>1050</v>
      </c>
      <c r="C6" s="5" t="inlineStr">
        <is>
          <t>Gut</t>
        </is>
      </c>
    </row>
    <row r="7">
      <c r="A7" s="5" t="inlineStr">
        <is>
          <t>Frankfurt</t>
        </is>
      </c>
      <c r="B7" s="5" t="n">
        <v>1000</v>
      </c>
      <c r="C7" s="5" t="inlineStr">
        <is>
          <t>Gut</t>
        </is>
      </c>
    </row>
    <row r="8">
      <c r="A8" s="5" t="inlineStr">
        <is>
          <t>Köln</t>
        </is>
      </c>
      <c r="B8" s="5" t="n">
        <v>950</v>
      </c>
      <c r="C8" s="5" t="inlineStr">
        <is>
          <t>Durchschnitt</t>
        </is>
      </c>
    </row>
    <row r="9">
      <c r="A9" s="5" t="inlineStr">
        <is>
          <t>Berlin</t>
        </is>
      </c>
      <c r="B9" s="5" t="n">
        <v>950</v>
      </c>
      <c r="C9" s="5" t="inlineStr">
        <is>
          <t>Durchschnitt</t>
        </is>
      </c>
    </row>
    <row r="10">
      <c r="A10" s="5" t="inlineStr">
        <is>
          <t>Hamburg</t>
        </is>
      </c>
      <c r="B10" s="5" t="n">
        <v>920</v>
      </c>
      <c r="C10" s="5" t="inlineStr">
        <is>
          <t>Unterdurchschnitt</t>
        </is>
      </c>
    </row>
    <row r="11">
      <c r="A11" s="5" t="inlineStr">
        <is>
          <t>Kiel</t>
        </is>
      </c>
      <c r="B11" s="5" t="n">
        <v>900</v>
      </c>
      <c r="C11" s="5" t="inlineStr">
        <is>
          <t>Unterdurchschnitt</t>
        </is>
      </c>
    </row>
    <row r="13">
      <c r="A13" t="inlineStr">
        <is>
          <t>Hinweis: Diese Werte dienen als Orientierung.</t>
        </is>
      </c>
    </row>
    <row r="14">
      <c r="A14" t="inlineStr">
        <is>
          <t>Für präzise Daten nutzen Sie das PVGIS-Tool der EU:</t>
        </is>
      </c>
    </row>
    <row r="15">
      <c r="A15" s="19" t="inlineStr">
        <is>
          <t>https://re.jrc.ec.europa.eu/pvgis/</t>
        </is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</cols>
  <sheetData>
    <row r="1">
      <c r="A1" s="15" t="inlineStr">
        <is>
          <t>🔋 Eigenverbrauchsquote nach Speichergröße</t>
        </is>
      </c>
    </row>
    <row r="3">
      <c r="A3" s="20" t="inlineStr">
        <is>
          <t>Konfiguration</t>
        </is>
      </c>
      <c r="B3" s="20" t="inlineStr">
        <is>
          <t>Eigenverbrauchsquote</t>
        </is>
      </c>
      <c r="C3" s="20" t="inlineStr">
        <is>
          <t>Autarkiegrad</t>
        </is>
      </c>
    </row>
    <row r="4">
      <c r="A4" s="5" t="inlineStr">
        <is>
          <t>Ohne Speicher</t>
        </is>
      </c>
      <c r="B4" s="5" t="inlineStr">
        <is>
          <t>20-30%</t>
        </is>
      </c>
      <c r="C4" s="5" t="inlineStr">
        <is>
          <t>15-25%</t>
        </is>
      </c>
    </row>
    <row r="5">
      <c r="A5" s="5" t="inlineStr">
        <is>
          <t>Mit 5 kWh Speicher</t>
        </is>
      </c>
      <c r="B5" s="5" t="inlineStr">
        <is>
          <t>40-50%</t>
        </is>
      </c>
      <c r="C5" s="5" t="inlineStr">
        <is>
          <t>35-45%</t>
        </is>
      </c>
    </row>
    <row r="6">
      <c r="A6" s="5" t="inlineStr">
        <is>
          <t>Mit 10 kWh Speicher</t>
        </is>
      </c>
      <c r="B6" s="5" t="inlineStr">
        <is>
          <t>50-70%</t>
        </is>
      </c>
      <c r="C6" s="5" t="inlineStr">
        <is>
          <t>45-60%</t>
        </is>
      </c>
    </row>
    <row r="7">
      <c r="A7" s="5" t="inlineStr">
        <is>
          <t>Mit 15 kWh Speicher</t>
        </is>
      </c>
      <c r="B7" s="5" t="inlineStr">
        <is>
          <t>60-80%</t>
        </is>
      </c>
      <c r="C7" s="5" t="inlineStr">
        <is>
          <t>55-70%</t>
        </is>
      </c>
    </row>
    <row r="9">
      <c r="A9" s="12" t="inlineStr">
        <is>
          <t>💡 Wirtschaftlichkeitsvergleich:</t>
        </is>
      </c>
    </row>
    <row r="11">
      <c r="A11" t="inlineStr">
        <is>
          <t>Eigenverbrauch</t>
        </is>
      </c>
      <c r="B11" t="inlineStr">
        <is>
          <t>Ersparnis ca.</t>
        </is>
      </c>
      <c r="C11">
        <f>30-10</f>
        <v/>
      </c>
      <c r="D11" t="inlineStr">
        <is>
          <t>ct/kWh</t>
        </is>
      </c>
    </row>
    <row r="12">
      <c r="A12" t="inlineStr">
        <is>
          <t>Netzeinspeisung</t>
        </is>
      </c>
      <c r="B12" t="inlineStr">
        <is>
          <t>Vergütung ca.</t>
        </is>
      </c>
      <c r="C12" t="n">
        <v>7.86</v>
      </c>
      <c r="D12" t="inlineStr">
        <is>
          <t>ct/kWh</t>
        </is>
      </c>
    </row>
    <row r="14">
      <c r="A14" s="21" t="inlineStr">
        <is>
          <t>➡️ Jede selbst verbrauchte kWh spart ~20 ct gegenüber Einspeisung!</t>
        </is>
      </c>
    </row>
  </sheetData>
  <mergeCells count="1">
    <mergeCell ref="A1:C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5" customWidth="1" min="3" max="3"/>
    <col width="15" customWidth="1" min="4" max="4"/>
  </cols>
  <sheetData>
    <row r="1">
      <c r="A1" s="15" t="inlineStr">
        <is>
          <t>📐 Amortisationsberechnung - Detailformel</t>
        </is>
      </c>
    </row>
    <row r="3">
      <c r="A3" s="12" t="inlineStr">
        <is>
          <t>Formel zur Berechnung der Amortisationszeit:</t>
        </is>
      </c>
    </row>
    <row r="5">
      <c r="A5" s="22" t="inlineStr">
        <is>
          <t>t_Amortisation = I₀ / (E_Eigenverbrauch × p_Strom + E_Einspeisung × p_Vergütung - K_Betrieb)</t>
        </is>
      </c>
    </row>
    <row r="7">
      <c r="A7" s="23" t="inlineStr">
        <is>
          <t>Variable</t>
        </is>
      </c>
      <c r="B7" s="23" t="inlineStr">
        <is>
          <t>Beschreibung</t>
        </is>
      </c>
      <c r="C7" s="23" t="inlineStr">
        <is>
          <t>Einheit</t>
        </is>
      </c>
      <c r="D7" s="23" t="inlineStr">
        <is>
          <t>Ihr Wert</t>
        </is>
      </c>
    </row>
    <row r="8">
      <c r="A8" s="5" t="inlineStr">
        <is>
          <t>I₀</t>
        </is>
      </c>
      <c r="B8" s="5" t="inlineStr">
        <is>
          <t>Anfangsinvestition</t>
        </is>
      </c>
      <c r="C8" s="5" t="inlineStr">
        <is>
          <t>€</t>
        </is>
      </c>
      <c r="D8" s="5">
        <f>'PV-Rechner'!B8</f>
        <v/>
      </c>
    </row>
    <row r="9">
      <c r="A9" s="5" t="inlineStr">
        <is>
          <t>E_Eigenverbrauch</t>
        </is>
      </c>
      <c r="B9" s="5" t="inlineStr">
        <is>
          <t>Jährlich selbst verbrauchter Strom</t>
        </is>
      </c>
      <c r="C9" s="5" t="inlineStr">
        <is>
          <t>kWh</t>
        </is>
      </c>
      <c r="D9" s="5">
        <f>'PV-Rechner'!C26</f>
        <v/>
      </c>
    </row>
    <row r="10">
      <c r="A10" s="5" t="inlineStr">
        <is>
          <t>p_Strom</t>
        </is>
      </c>
      <c r="B10" s="5" t="inlineStr">
        <is>
          <t>Aktueller Strompreis</t>
        </is>
      </c>
      <c r="C10" s="5" t="inlineStr">
        <is>
          <t>€/kWh</t>
        </is>
      </c>
      <c r="D10" s="5">
        <f>'PV-Rechner'!B9/100</f>
        <v/>
      </c>
    </row>
    <row r="11">
      <c r="A11" s="5" t="inlineStr">
        <is>
          <t>E_Einspeisung</t>
        </is>
      </c>
      <c r="B11" s="5" t="inlineStr">
        <is>
          <t>Jährlich eingespeister Strom</t>
        </is>
      </c>
      <c r="C11" s="5" t="inlineStr">
        <is>
          <t>kWh</t>
        </is>
      </c>
      <c r="D11" s="5">
        <f>'PV-Rechner'!C27</f>
        <v/>
      </c>
    </row>
    <row r="12">
      <c r="A12" s="5" t="inlineStr">
        <is>
          <t>p_Vergütung</t>
        </is>
      </c>
      <c r="B12" s="5" t="inlineStr">
        <is>
          <t>Einspeisevergütung</t>
        </is>
      </c>
      <c r="C12" s="5" t="inlineStr">
        <is>
          <t>€/kWh</t>
        </is>
      </c>
      <c r="D12" s="5">
        <f>'PV-Rechner'!B14/100</f>
        <v/>
      </c>
    </row>
    <row r="13">
      <c r="A13" s="5" t="inlineStr">
        <is>
          <t>K_Betrieb</t>
        </is>
      </c>
      <c r="B13" s="5" t="inlineStr">
        <is>
          <t>Jährliche Betriebskosten</t>
        </is>
      </c>
      <c r="C13" s="5" t="inlineStr">
        <is>
          <t>€</t>
        </is>
      </c>
      <c r="D13" s="5">
        <f>'PV-Rechner'!C31</f>
        <v/>
      </c>
    </row>
    <row r="15">
      <c r="A15" s="12" t="inlineStr">
        <is>
          <t>Beispielrechnung:</t>
        </is>
      </c>
    </row>
    <row r="16">
      <c r="A16" t="inlineStr">
        <is>
          <t>Bei 15.000 € Investition, 3.000 kWh Eigenverbrauch (à 0,30 €),</t>
        </is>
      </c>
    </row>
    <row r="17">
      <c r="A17" t="inlineStr">
        <is>
          <t>6.000 kWh Einspeisung (à 0,0786 €) und 200 € Betriebskosten:</t>
        </is>
      </c>
    </row>
    <row r="18">
      <c r="A18" s="21" t="inlineStr">
        <is>
          <t>t ≈ 15.000 / (3.000×0,30 + 6.000×0,0786 - 200) ≈ 10,5 Jahre</t>
        </is>
      </c>
    </row>
  </sheetData>
  <mergeCells count="2">
    <mergeCell ref="A1:D1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2025-12-30T09:09:28Z</dcterms:created>
  <dcterms:modified xmlns:dcterms="http://purl.org/dc/terms/" xmlns:xsi="http://www.w3.org/2001/XMLSchema-instance" xsi:type="dcterms:W3CDTF">2025-12-30T09:09:28Z</dcterms:modified>
</cp:coreProperties>
</file>