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Artikel" sheetId="2" state="visible" r:id="rId3"/>
    <sheet name="Lager" sheetId="3" state="visible" r:id="rId4"/>
    <sheet name="Zugaenge" sheetId="4" state="visible" r:id="rId5"/>
    <sheet name="Abgaenge" sheetId="5" state="visible" r:id="rId6"/>
    <sheet name="Lieferanten" sheetId="6" state="visible" r:id="rId7"/>
    <sheet name="Bestellungen" sheetId="7" state="visible" r:id="rId8"/>
    <sheet name="Rechnung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<sst xmlns="http://schemas.openxmlformats.org/spreadsheetml/2006/main" count="380" uniqueCount="209">
  <si>
    <t xml:space="preserve">WARENWIRTSCHAFT – DASHBOARD &amp; AUSWERTUNG</t>
  </si>
  <si>
    <t xml:space="preserve">Automatisch berechnet aus den Modulen: Artikel · Lager · Zugänge · Abgänge · Bestellungen</t>
  </si>
  <si>
    <t xml:space="preserve">Artikel gesamt</t>
  </si>
  <si>
    <t xml:space="preserve">Gesamter Lagerwert (EK)</t>
  </si>
  <si>
    <t xml:space="preserve">Artikel unter Meldebestand</t>
  </si>
  <si>
    <t xml:space="preserve">Gesamte Zugänge (Stk.)</t>
  </si>
  <si>
    <t xml:space="preserve">Gesamte Abgänge (Stk.)</t>
  </si>
  <si>
    <t xml:space="preserve">Umsatz gesamt (VK)</t>
  </si>
  <si>
    <t xml:space="preserve">Offene Bestellungen</t>
  </si>
  <si>
    <t xml:space="preserve">Bestellungen gesamt</t>
  </si>
  <si>
    <t xml:space="preserve">Einkaufsvolumen (€)</t>
  </si>
  <si>
    <t xml:space="preserve">BESTANDSÜBERSICHT JE ARTIKEL</t>
  </si>
  <si>
    <t xml:space="preserve">UMSATZ NACH ARTIKEL (Abgänge × VK-Preis)</t>
  </si>
  <si>
    <t xml:space="preserve">Artikel-Nr.</t>
  </si>
  <si>
    <t xml:space="preserve">Bezeichnung</t>
  </si>
  <si>
    <t xml:space="preserve">Bestand</t>
  </si>
  <si>
    <t xml:space="preserve">Status</t>
  </si>
  <si>
    <t xml:space="preserve">Abg. (Stk.)</t>
  </si>
  <si>
    <t xml:space="preserve">Umsatz (€)</t>
  </si>
  <si>
    <t xml:space="preserve">EK-Wert (€)</t>
  </si>
  <si>
    <t xml:space="preserve">Rohertrag (€)</t>
  </si>
  <si>
    <t xml:space="preserve">Marge (%)</t>
  </si>
  <si>
    <t xml:space="preserve">ART-001</t>
  </si>
  <si>
    <t xml:space="preserve">ART-002</t>
  </si>
  <si>
    <t xml:space="preserve">ART-003</t>
  </si>
  <si>
    <t xml:space="preserve">ART-004</t>
  </si>
  <si>
    <t xml:space="preserve">ART-005</t>
  </si>
  <si>
    <t xml:space="preserve">ART-006</t>
  </si>
  <si>
    <t xml:space="preserve">ART-007</t>
  </si>
  <si>
    <t xml:space="preserve">ART-008</t>
  </si>
  <si>
    <t xml:space="preserve">ART-009</t>
  </si>
  <si>
    <t xml:space="preserve">ART-010</t>
  </si>
  <si>
    <t xml:space="preserve">GESAMT</t>
  </si>
  <si>
    <t xml:space="preserve">LEGENDE:  Blauer Text = Eingabewerte (änderbar)   |   Schwarzer Text = Formeln (automatisch)   |   Grüner Text = Verknüpfungen aus anderen Blättern   |   Rot = Meldebestand unterschritten</t>
  </si>
  <si>
    <t xml:space="preserve">ARTIKELSTAMMDATEN</t>
  </si>
  <si>
    <t xml:space="preserve">Vollständige Artikelliste – Grundlage für alle anderen Module</t>
  </si>
  <si>
    <t xml:space="preserve">Artikelnummer</t>
  </si>
  <si>
    <t xml:space="preserve">Artikelbezeichnung</t>
  </si>
  <si>
    <t xml:space="preserve">Kategorie / Warengruppe</t>
  </si>
  <si>
    <t xml:space="preserve">Einkaufspreis
(netto, €)</t>
  </si>
  <si>
    <t xml:space="preserve">Verkaufspreis
(brutto, €)</t>
  </si>
  <si>
    <t xml:space="preserve">Mindestbestand
(Meldebestand)</t>
  </si>
  <si>
    <t xml:space="preserve">Lagerort</t>
  </si>
  <si>
    <t xml:space="preserve">Lieferant</t>
  </si>
  <si>
    <t xml:space="preserve">Aktiv
(Ja/Nein)</t>
  </si>
  <si>
    <t xml:space="preserve">Bemerkung</t>
  </si>
  <si>
    <t xml:space="preserve">Bürostuhl Comfort Pro</t>
  </si>
  <si>
    <t xml:space="preserve">Möbel</t>
  </si>
  <si>
    <t xml:space="preserve">Regal A1</t>
  </si>
  <si>
    <t xml:space="preserve">Möbel GmbH</t>
  </si>
  <si>
    <t xml:space="preserve">Ja</t>
  </si>
  <si>
    <t xml:space="preserve">Schreibtisch 140cm</t>
  </si>
  <si>
    <t xml:space="preserve">Regal A2</t>
  </si>
  <si>
    <t xml:space="preserve">Druckerpapier A4 500Bl</t>
  </si>
  <si>
    <t xml:space="preserve">Bürobedarf</t>
  </si>
  <si>
    <t xml:space="preserve">Regal B1</t>
  </si>
  <si>
    <t xml:space="preserve">Papier AG</t>
  </si>
  <si>
    <t xml:space="preserve">10er-Packung verfügbar</t>
  </si>
  <si>
    <t xml:space="preserve">Kugelschreiber blau</t>
  </si>
  <si>
    <t xml:space="preserve">Regal B2</t>
  </si>
  <si>
    <t xml:space="preserve">Schreibwaren KG</t>
  </si>
  <si>
    <t xml:space="preserve">Laptop Stand</t>
  </si>
  <si>
    <t xml:space="preserve">IT-Zubehör</t>
  </si>
  <si>
    <t xml:space="preserve">Regal C1</t>
  </si>
  <si>
    <t xml:space="preserve">TechDeal GmbH</t>
  </si>
  <si>
    <t xml:space="preserve">USB-C Hub 7-Port</t>
  </si>
  <si>
    <t xml:space="preserve">Regal C2</t>
  </si>
  <si>
    <t xml:space="preserve">Aktenschrank 4-türig</t>
  </si>
  <si>
    <t xml:space="preserve">Regal A3</t>
  </si>
  <si>
    <t xml:space="preserve">Toner HP LaserJet</t>
  </si>
  <si>
    <t xml:space="preserve">Regal C3</t>
  </si>
  <si>
    <t xml:space="preserve">Whiteboard 120x90</t>
  </si>
  <si>
    <t xml:space="preserve">Regal B3</t>
  </si>
  <si>
    <t xml:space="preserve">Büro Total</t>
  </si>
  <si>
    <t xml:space="preserve">Haftnotizen 100er Pack</t>
  </si>
  <si>
    <t xml:space="preserve">Regal B4</t>
  </si>
  <si>
    <t xml:space="preserve">LAGERVERWALTUNG &amp; BESTANDSFÜHRUNG</t>
  </si>
  <si>
    <t xml:space="preserve">Bestand = Anfangsbestand + Zugänge − Abgänge  |  Rot = Meldebestand unterschritten  |  Grün = Bestand ausreichend</t>
  </si>
  <si>
    <t xml:space="preserve">Anfangsbestand</t>
  </si>
  <si>
    <t xml:space="preserve">Zugänge
(gesamt)</t>
  </si>
  <si>
    <t xml:space="preserve">Abgänge
(gesamt)</t>
  </si>
  <si>
    <t xml:space="preserve">Aktueller Bestand</t>
  </si>
  <si>
    <t xml:space="preserve">Meldebestand</t>
  </si>
  <si>
    <t xml:space="preserve">Lagerwert (€)</t>
  </si>
  <si>
    <t xml:space="preserve">WARENEINGÄNGE (ZUGÄNGE)</t>
  </si>
  <si>
    <t xml:space="preserve">Alle Wareneingänge hier erfassen — wird automatisch in der Lagerverwaltung berücksichtigt</t>
  </si>
  <si>
    <t xml:space="preserve">Menge</t>
  </si>
  <si>
    <t xml:space="preserve">Datum</t>
  </si>
  <si>
    <t xml:space="preserve">Bestellnummer</t>
  </si>
  <si>
    <t xml:space="preserve">BE-2024-001</t>
  </si>
  <si>
    <t xml:space="preserve">BE-2024-002</t>
  </si>
  <si>
    <t xml:space="preserve">BE-2024-003</t>
  </si>
  <si>
    <t xml:space="preserve">BE-2024-004</t>
  </si>
  <si>
    <t xml:space="preserve">BE-2024-005</t>
  </si>
  <si>
    <t xml:space="preserve">BE-2024-006</t>
  </si>
  <si>
    <t xml:space="preserve">BE-2024-007</t>
  </si>
  <si>
    <t xml:space="preserve">BE-2024-008</t>
  </si>
  <si>
    <t xml:space="preserve">WARENAUSGÄNGE (ABGÄNGE / VERKÄUFE)</t>
  </si>
  <si>
    <t xml:space="preserve">Alle Warenausgänge &amp; Verkäufe hier erfassen — wird automatisch in der Lagerverwaltung berücksichtigt</t>
  </si>
  <si>
    <t xml:space="preserve">Kunde / Empfänger</t>
  </si>
  <si>
    <t xml:space="preserve">Rechnungsnummer</t>
  </si>
  <si>
    <t xml:space="preserve">Verkaufspreis (€)</t>
  </si>
  <si>
    <t xml:space="preserve">Firma Müller GmbH</t>
  </si>
  <si>
    <t xml:space="preserve">RE-2024-001</t>
  </si>
  <si>
    <t xml:space="preserve">Büro Schulz</t>
  </si>
  <si>
    <t xml:space="preserve">RE-2024-002</t>
  </si>
  <si>
    <t xml:space="preserve">Papierhandel Nord</t>
  </si>
  <si>
    <t xml:space="preserve">RE-2024-003</t>
  </si>
  <si>
    <t xml:space="preserve">Online-Shop</t>
  </si>
  <si>
    <t xml:space="preserve">RE-2024-004</t>
  </si>
  <si>
    <t xml:space="preserve">TechStart GmbH</t>
  </si>
  <si>
    <t xml:space="preserve">RE-2024-005</t>
  </si>
  <si>
    <t xml:space="preserve">Homeoffice Meier</t>
  </si>
  <si>
    <t xml:space="preserve">RE-2024-006</t>
  </si>
  <si>
    <t xml:space="preserve">Druckerei West</t>
  </si>
  <si>
    <t xml:space="preserve">RE-2024-007</t>
  </si>
  <si>
    <t xml:space="preserve">Schulbedarf AG</t>
  </si>
  <si>
    <t xml:space="preserve">RE-2024-008</t>
  </si>
  <si>
    <t xml:space="preserve">Schreibwaren Reuter</t>
  </si>
  <si>
    <t xml:space="preserve">RE-2024-009</t>
  </si>
  <si>
    <t xml:space="preserve">Architekt Bauer</t>
  </si>
  <si>
    <t xml:space="preserve">RE-2024-010</t>
  </si>
  <si>
    <t xml:space="preserve">Bürobedarf Online</t>
  </si>
  <si>
    <t xml:space="preserve">RE-2024-011</t>
  </si>
  <si>
    <t xml:space="preserve">Konferenzhaus Nord</t>
  </si>
  <si>
    <t xml:space="preserve">RE-2024-012</t>
  </si>
  <si>
    <t xml:space="preserve">IT-Service Kiel</t>
  </si>
  <si>
    <t xml:space="preserve">RE-2024-013</t>
  </si>
  <si>
    <t xml:space="preserve">Freelancer Vogel</t>
  </si>
  <si>
    <t xml:space="preserve">RE-2024-014</t>
  </si>
  <si>
    <t xml:space="preserve">Startup Hub</t>
  </si>
  <si>
    <t xml:space="preserve">RE-2024-015</t>
  </si>
  <si>
    <t xml:space="preserve">RE-2024-016</t>
  </si>
  <si>
    <t xml:space="preserve">RE-2024-017</t>
  </si>
  <si>
    <t xml:space="preserve">Innenarchitekt Braun</t>
  </si>
  <si>
    <t xml:space="preserve">RE-2024-018</t>
  </si>
  <si>
    <t xml:space="preserve">HomeOffice Express</t>
  </si>
  <si>
    <t xml:space="preserve">RE-2024-019</t>
  </si>
  <si>
    <t xml:space="preserve">LIEFERANTENVERWALTUNG</t>
  </si>
  <si>
    <t xml:space="preserve">Alle Lieferanten mit Konditionen und Kontaktdaten pflegen</t>
  </si>
  <si>
    <t xml:space="preserve">Lieferanten-Nr.</t>
  </si>
  <si>
    <t xml:space="preserve">Lieferantenname</t>
  </si>
  <si>
    <t xml:space="preserve">Kontaktperson</t>
  </si>
  <si>
    <t xml:space="preserve">E-Mail</t>
  </si>
  <si>
    <t xml:space="preserve">Telefon</t>
  </si>
  <si>
    <t xml:space="preserve">Lieferzeit (Tage)</t>
  </si>
  <si>
    <t xml:space="preserve">Zahlungsziel (Tage)</t>
  </si>
  <si>
    <t xml:space="preserve">bevorzugte Zahlungsart</t>
  </si>
  <si>
    <t xml:space="preserve">LF-001</t>
  </si>
  <si>
    <t xml:space="preserve">Hr. Schmidt</t>
  </si>
  <si>
    <t xml:space="preserve">schmidt@moebel-gmbh.de</t>
  </si>
  <si>
    <t xml:space="preserve">+49 40 1234567</t>
  </si>
  <si>
    <t xml:space="preserve">Überweisung</t>
  </si>
  <si>
    <t xml:space="preserve">LF-002</t>
  </si>
  <si>
    <t xml:space="preserve">Fr. Müller</t>
  </si>
  <si>
    <t xml:space="preserve">mueller@papier-ag.de</t>
  </si>
  <si>
    <t xml:space="preserve">+49 30 9876543</t>
  </si>
  <si>
    <t xml:space="preserve">SEPA-Lastschrift</t>
  </si>
  <si>
    <t xml:space="preserve">LF-003</t>
  </si>
  <si>
    <t xml:space="preserve">Hr. Weber</t>
  </si>
  <si>
    <t xml:space="preserve">weber@schreibwaren-kg.de</t>
  </si>
  <si>
    <t xml:space="preserve">+49 89 5556677</t>
  </si>
  <si>
    <t xml:space="preserve">LF-004</t>
  </si>
  <si>
    <t xml:space="preserve">Fr. Bauer</t>
  </si>
  <si>
    <t xml:space="preserve">bauer@techdeal.de</t>
  </si>
  <si>
    <t xml:space="preserve">+49 69 1112233</t>
  </si>
  <si>
    <t xml:space="preserve">Kreditkarte</t>
  </si>
  <si>
    <t xml:space="preserve">LF-005</t>
  </si>
  <si>
    <t xml:space="preserve">Hr. Fischer</t>
  </si>
  <si>
    <t xml:space="preserve">fischer@buero-total.de</t>
  </si>
  <si>
    <t xml:space="preserve">+49 211 4445566</t>
  </si>
  <si>
    <t xml:space="preserve">BESTELLWESEN (EINKAUF)</t>
  </si>
  <si>
    <t xml:space="preserve">Bestellungen bei Lieferanten erfassen und verfolgen — Status: Offen / Bestellt / Geliefert / Abgeschlossen</t>
  </si>
  <si>
    <t xml:space="preserve">Bestelldatum</t>
  </si>
  <si>
    <t xml:space="preserve">EK-Preis (€)</t>
  </si>
  <si>
    <t xml:space="preserve">Bestellwert (€)</t>
  </si>
  <si>
    <t xml:space="preserve">Lieferdatum (geplant)</t>
  </si>
  <si>
    <t xml:space="preserve">Geliefert</t>
  </si>
  <si>
    <t xml:space="preserve">BE-2024-009</t>
  </si>
  <si>
    <t xml:space="preserve">Bestellt</t>
  </si>
  <si>
    <t xml:space="preserve">BE-2024-010</t>
  </si>
  <si>
    <t xml:space="preserve">Offen</t>
  </si>
  <si>
    <t xml:space="preserve">MUSTERUNTERNEHMEN GMBH</t>
  </si>
  <si>
    <t xml:space="preserve">Musterstraße 1  |  12345 Musterstadt  |  info@muster-gmbh.de  |  Tel.: +49 30 123456</t>
  </si>
  <si>
    <t xml:space="preserve">RECHNUNG</t>
  </si>
  <si>
    <t xml:space="preserve">Rechnungsnummer:</t>
  </si>
  <si>
    <t xml:space="preserve">Rechnungsdatum:</t>
  </si>
  <si>
    <t xml:space="preserve">RECHNUNGSEMPFÄNGER</t>
  </si>
  <si>
    <t xml:space="preserve">Kundennummer:</t>
  </si>
  <si>
    <t xml:space="preserve">KD-001</t>
  </si>
  <si>
    <t xml:space="preserve">Lieferdatum:</t>
  </si>
  <si>
    <t xml:space="preserve">Musterkunde GmbH</t>
  </si>
  <si>
    <t xml:space="preserve">Zahlungsziel:</t>
  </si>
  <si>
    <t xml:space="preserve">30 Tage</t>
  </si>
  <si>
    <t xml:space="preserve">Fällig am:</t>
  </si>
  <si>
    <t xml:space="preserve">Hr. Max Mustermann</t>
  </si>
  <si>
    <t xml:space="preserve">Kundenstraße 10</t>
  </si>
  <si>
    <t xml:space="preserve">10115 Berlin</t>
  </si>
  <si>
    <t xml:space="preserve">Pos.</t>
  </si>
  <si>
    <t xml:space="preserve">Art.-Nr.</t>
  </si>
  <si>
    <t xml:space="preserve">Einheit</t>
  </si>
  <si>
    <t xml:space="preserve">VK-Preis (€)</t>
  </si>
  <si>
    <t xml:space="preserve">Gesamt (€)</t>
  </si>
  <si>
    <t xml:space="preserve">Stk.</t>
  </si>
  <si>
    <t xml:space="preserve">Pkg.</t>
  </si>
  <si>
    <t xml:space="preserve">Nettobetrag:</t>
  </si>
  <si>
    <t xml:space="preserve">MwSt. 19%:</t>
  </si>
  <si>
    <t xml:space="preserve">RECHNUNGSBETRAG (BRUTTO):</t>
  </si>
  <si>
    <t xml:space="preserve">Bitte überweisen Sie den Rechnungsbetrag innerhalb von 30 Tagen auf unser Konto: IBAN: DE12 3456 7890 1234 5678 90  |  BIC: MUBKDEXX  |  Musterbank AG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</si>
</sst>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&quot; €&quot;"/>
    <numFmt numFmtId="167" formatCode="0.0%"/>
    <numFmt numFmtId="168" formatCode="dd\.mm\.yyyy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8"/>
      <color rgb="FF1F3864"/>
      <name val="Arial"/>
      <family val="0"/>
      <charset val="1"/>
    </font>
    <font>
      <b val="true"/>
      <sz val="18"/>
      <color rgb="FF2E75B6"/>
      <name val="Arial"/>
      <family val="0"/>
      <charset val="1"/>
    </font>
    <font>
      <b val="true"/>
      <sz val="18"/>
      <color rgb="FFC00000"/>
      <name val="Arial"/>
      <family val="0"/>
      <charset val="1"/>
    </font>
    <font>
      <b val="true"/>
      <sz val="18"/>
      <color rgb="FF375623"/>
      <name val="Arial"/>
      <family val="0"/>
      <charset val="1"/>
    </font>
    <font>
      <b val="true"/>
      <sz val="18"/>
      <color rgb="FFED7D31"/>
      <name val="Arial"/>
      <family val="0"/>
      <charset val="1"/>
    </font>
    <font>
      <b val="true"/>
      <sz val="18"/>
      <color rgb="FF7F6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16"/>
      <color rgb="FF1F3864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1F3864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F2F2F2"/>
        <bgColor rgb="FFEBF5FB"/>
      </patternFill>
    </fill>
    <fill>
      <patternFill patternType="solid">
        <fgColor rgb="FF2E75B6"/>
        <bgColor rgb="FF0066CC"/>
      </patternFill>
    </fill>
    <fill>
      <patternFill patternType="solid">
        <fgColor rgb="FFC00000"/>
        <bgColor rgb="FF800000"/>
      </patternFill>
    </fill>
    <fill>
      <patternFill patternType="solid">
        <fgColor rgb="FFFFFFFF"/>
        <bgColor rgb="FFFFF0F0"/>
      </patternFill>
    </fill>
    <fill>
      <patternFill patternType="solid">
        <fgColor rgb="FF375623"/>
        <bgColor rgb="FF595959"/>
      </patternFill>
    </fill>
    <fill>
      <patternFill patternType="solid">
        <fgColor rgb="FFED7D31"/>
        <bgColor rgb="FFFF8080"/>
      </patternFill>
    </fill>
    <fill>
      <patternFill patternType="solid">
        <fgColor rgb="FF7F6000"/>
        <bgColor rgb="FF595959"/>
      </patternFill>
    </fill>
    <fill>
      <patternFill patternType="solid">
        <fgColor rgb="FFEBF5FB"/>
        <bgColor rgb="FFF2F2F2"/>
      </patternFill>
    </fill>
    <fill>
      <patternFill patternType="solid">
        <fgColor rgb="FFD9D9D9"/>
        <bgColor rgb="FFD6E4F0"/>
      </patternFill>
    </fill>
    <fill>
      <patternFill patternType="solid">
        <fgColor rgb="FFFFF2CC"/>
        <bgColor rgb="FFFFF0F0"/>
      </patternFill>
    </fill>
    <fill>
      <patternFill patternType="solid">
        <fgColor rgb="FFD6E4F0"/>
        <bgColor rgb="FFDDEBF7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1F3864"/>
      </left>
      <right/>
      <top style="medium">
        <color rgb="FF1F3864"/>
      </top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1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7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1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1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5" fillId="1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C00000"/>
        <sz val="9"/>
      </font>
      <fill>
        <patternFill>
          <bgColor rgb="FFFFE0E0"/>
        </patternFill>
      </fill>
    </dxf>
    <dxf>
      <font>
        <name val="Arial"/>
        <charset val="1"/>
        <family val="0"/>
        <b val="1"/>
        <color rgb="FF375623"/>
        <sz val="9"/>
      </font>
      <fill>
        <patternFill>
          <bgColor rgb="FFE2EFDA"/>
        </patternFill>
      </fill>
    </dxf>
    <dxf>
      <fill>
        <patternFill>
          <bgColor rgb="FFFFF0F0"/>
        </patternFill>
      </fill>
    </dxf>
    <dxf>
      <font>
        <name val="Arial"/>
        <charset val="1"/>
        <family val="0"/>
        <b val="1"/>
        <color rgb="FF7F6000"/>
        <sz val="9"/>
      </font>
      <fill>
        <patternFill>
          <bgColor rgb="FFFFF2CC"/>
        </patternFill>
      </fill>
    </dxf>
    <dxf>
      <font>
        <name val="Arial"/>
        <charset val="1"/>
        <family val="0"/>
        <b val="1"/>
        <color rgb="FF2E75B6"/>
        <sz val="9"/>
      </font>
      <fill>
        <patternFill>
          <bgColor rgb="FFDDEBF7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E2EFDA"/>
      <rgbColor rgb="FFFFF0F0"/>
      <rgbColor rgb="FFD6E4F0"/>
      <rgbColor rgb="FFF2F2F2"/>
      <rgbColor rgb="FFCC99FF"/>
      <rgbColor rgb="FFFFE0E0"/>
      <rgbColor rgb="FF2E75B6"/>
      <rgbColor rgb="FF33CCCC"/>
      <rgbColor rgb="FF99CC00"/>
      <rgbColor rgb="FFFFCC00"/>
      <rgbColor rgb="FFFF9900"/>
      <rgbColor rgb="FFED7D3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4"/>
    <col collapsed="false" customWidth="true" hidden="false" outlineLevel="0" max="6" min="6" style="0" width="12"/>
    <col collapsed="false" customWidth="true" hidden="false" outlineLevel="0" max="7" min="7" style="0" width="24"/>
    <col collapsed="false" customWidth="true" hidden="false" outlineLevel="0" max="8" min="8" style="0" width="13"/>
    <col collapsed="false" customWidth="true" hidden="false" outlineLevel="0" max="11" min="9" style="0" width="14"/>
    <col collapsed="false" customWidth="true" hidden="false" outlineLevel="0" max="12" min="12" style="0" width="1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9.5" hidden="false" customHeight="true" outlineLevel="0" collapsed="false">
      <c r="A4" s="3" t="s">
        <v>2</v>
      </c>
      <c r="B4" s="3"/>
      <c r="C4" s="3"/>
      <c r="E4" s="4" t="s">
        <v>3</v>
      </c>
      <c r="F4" s="4"/>
      <c r="G4" s="4"/>
      <c r="I4" s="5" t="s">
        <v>4</v>
      </c>
      <c r="J4" s="5"/>
      <c r="K4" s="5"/>
    </row>
    <row r="5" customFormat="false" ht="31.5" hidden="false" customHeight="true" outlineLevel="0" collapsed="false">
      <c r="A5" s="6" t="n">
        <f aca="false">COUNTA(Artikel!A4:A1000)</f>
        <v>10</v>
      </c>
      <c r="B5" s="6"/>
      <c r="C5" s="6"/>
      <c r="E5" s="7" t="n">
        <f aca="false">IFERROR(SUM(Lager!J4:J1000),0)</f>
        <v>11836</v>
      </c>
      <c r="F5" s="7"/>
      <c r="G5" s="7"/>
      <c r="I5" s="8" t="n">
        <f aca="false">COUNTIF(Lager!I4:I1000,"NACHBESTELLEN")</f>
        <v>0</v>
      </c>
      <c r="J5" s="8"/>
      <c r="K5" s="8"/>
    </row>
    <row r="6" customFormat="false" ht="9.75" hidden="false" customHeight="true" outlineLevel="0" collapsed="false">
      <c r="A6" s="6"/>
      <c r="B6" s="6"/>
      <c r="C6" s="6"/>
      <c r="E6" s="7"/>
      <c r="F6" s="7"/>
      <c r="G6" s="7"/>
      <c r="I6" s="8"/>
      <c r="J6" s="8"/>
      <c r="K6" s="8"/>
    </row>
    <row r="8" customFormat="false" ht="19.5" hidden="false" customHeight="true" outlineLevel="0" collapsed="false">
      <c r="A8" s="9" t="s">
        <v>5</v>
      </c>
      <c r="B8" s="9"/>
      <c r="C8" s="9"/>
      <c r="E8" s="5" t="s">
        <v>6</v>
      </c>
      <c r="F8" s="5"/>
      <c r="G8" s="5"/>
      <c r="I8" s="10" t="s">
        <v>7</v>
      </c>
      <c r="J8" s="10"/>
      <c r="K8" s="10"/>
    </row>
    <row r="9" customFormat="false" ht="31.5" hidden="false" customHeight="true" outlineLevel="0" collapsed="false">
      <c r="A9" s="11" t="n">
        <f aca="false">IFERROR(SUM(Zugaenge!C4:C1000),0)</f>
        <v>137</v>
      </c>
      <c r="B9" s="11"/>
      <c r="C9" s="11"/>
      <c r="E9" s="8" t="n">
        <f aca="false">IFERROR(SUM(Abgaenge!C4:C1000),0)</f>
        <v>173</v>
      </c>
      <c r="F9" s="8"/>
      <c r="G9" s="8"/>
      <c r="I9" s="12" t="n">
        <f aca="false">IFERROR(SUMPRODUCT(Abgaenge!C4:C1000,Abgaenge!G4:G1000),0)</f>
        <v>7399.46</v>
      </c>
      <c r="J9" s="12"/>
      <c r="K9" s="12"/>
    </row>
    <row r="10" customFormat="false" ht="9.75" hidden="false" customHeight="true" outlineLevel="0" collapsed="false">
      <c r="A10" s="11"/>
      <c r="B10" s="11"/>
      <c r="C10" s="11"/>
      <c r="E10" s="8"/>
      <c r="F10" s="8"/>
      <c r="G10" s="8"/>
      <c r="I10" s="12"/>
      <c r="J10" s="12"/>
      <c r="K10" s="12"/>
    </row>
    <row r="12" customFormat="false" ht="19.5" hidden="false" customHeight="true" outlineLevel="0" collapsed="false">
      <c r="A12" s="10" t="s">
        <v>8</v>
      </c>
      <c r="B12" s="10"/>
      <c r="C12" s="10"/>
      <c r="E12" s="13" t="s">
        <v>9</v>
      </c>
      <c r="F12" s="13"/>
      <c r="G12" s="13"/>
      <c r="I12" s="3" t="s">
        <v>10</v>
      </c>
      <c r="J12" s="3"/>
      <c r="K12" s="3"/>
    </row>
    <row r="13" customFormat="false" ht="31.5" hidden="false" customHeight="true" outlineLevel="0" collapsed="false">
      <c r="A13" s="14" t="n">
        <f aca="false">COUNTIF(Bestellungen!J4:J1000,"Offen")</f>
        <v>1</v>
      </c>
      <c r="B13" s="14"/>
      <c r="C13" s="14"/>
      <c r="E13" s="15" t="n">
        <f aca="false">COUNTA(Bestellungen!A4:A1000)</f>
        <v>12</v>
      </c>
      <c r="F13" s="15"/>
      <c r="G13" s="15"/>
      <c r="I13" s="16" t="n">
        <f aca="false">IFERROR(SUM(Bestellungen!H4:H1000),0)</f>
        <v>5428</v>
      </c>
      <c r="J13" s="16"/>
      <c r="K13" s="16"/>
    </row>
    <row r="14" customFormat="false" ht="9.75" hidden="false" customHeight="true" outlineLevel="0" collapsed="false">
      <c r="A14" s="14"/>
      <c r="B14" s="14"/>
      <c r="C14" s="14"/>
      <c r="E14" s="15"/>
      <c r="F14" s="15"/>
      <c r="G14" s="15"/>
      <c r="I14" s="16"/>
      <c r="J14" s="16"/>
      <c r="K14" s="16"/>
    </row>
    <row r="17" customFormat="false" ht="21.75" hidden="false" customHeight="true" outlineLevel="0" collapsed="false">
      <c r="A17" s="17" t="s">
        <v>11</v>
      </c>
      <c r="B17" s="17"/>
      <c r="C17" s="17"/>
      <c r="D17" s="17"/>
      <c r="F17" s="17" t="s">
        <v>12</v>
      </c>
      <c r="G17" s="17"/>
      <c r="H17" s="17"/>
      <c r="I17" s="17"/>
      <c r="J17" s="17"/>
      <c r="K17" s="17"/>
      <c r="L17" s="17"/>
    </row>
    <row r="18" customFormat="false" ht="19.5" hidden="false" customHeight="true" outlineLevel="0" collapsed="false">
      <c r="A18" s="18" t="s">
        <v>13</v>
      </c>
      <c r="B18" s="18" t="s">
        <v>14</v>
      </c>
      <c r="C18" s="18" t="s">
        <v>15</v>
      </c>
      <c r="D18" s="18" t="s">
        <v>16</v>
      </c>
      <c r="F18" s="19" t="s">
        <v>13</v>
      </c>
      <c r="G18" s="19" t="s">
        <v>14</v>
      </c>
      <c r="H18" s="19" t="s">
        <v>17</v>
      </c>
      <c r="I18" s="19" t="s">
        <v>18</v>
      </c>
      <c r="J18" s="19" t="s">
        <v>19</v>
      </c>
      <c r="K18" s="19" t="s">
        <v>20</v>
      </c>
      <c r="L18" s="19" t="s">
        <v>21</v>
      </c>
    </row>
    <row r="19" customFormat="false" ht="18" hidden="false" customHeight="true" outlineLevel="0" collapsed="false">
      <c r="A19" s="20" t="str">
        <f aca="false">Lager!A4</f>
        <v>ART-001</v>
      </c>
      <c r="B19" s="20" t="str">
        <f aca="false">Lager!B4</f>
        <v>Bürostuhl Comfort Pro</v>
      </c>
      <c r="C19" s="21" t="n">
        <f aca="false">Lager!G4</f>
        <v>12</v>
      </c>
      <c r="D19" s="22" t="str">
        <f aca="false">Lager!I4</f>
        <v>OK</v>
      </c>
      <c r="F19" s="23" t="s">
        <v>22</v>
      </c>
      <c r="G19" s="24" t="str">
        <f aca="false">IFERROR(INDEX(Artikel!B:B,MATCH(F19,Artikel!A:A,0)),"")</f>
        <v>Bürostuhl Comfort Pro</v>
      </c>
      <c r="H19" s="25" t="n">
        <f aca="false">IFERROR(SUMIF(Abgaenge!A:A,F19,Abgaenge!C:C),0)</f>
        <v>5</v>
      </c>
      <c r="I19" s="26" t="n">
        <f aca="false">IFERROR(SUMPRODUCT((Abgaenge!A$4:A$1000=F19)*Abgaenge!C$4:C$1000*Abgaenge!G$4:G$1000),0)</f>
        <v>1245</v>
      </c>
      <c r="J19" s="26" t="n">
        <f aca="false">IFERROR(H19*INDEX(Artikel!D:D,MATCH(F19,Artikel!A:A,0)),0)</f>
        <v>945</v>
      </c>
      <c r="K19" s="26" t="n">
        <f aca="false">I19-J19</f>
        <v>300</v>
      </c>
      <c r="L19" s="27" t="n">
        <f aca="false">IFERROR(K19/I19,0)</f>
        <v>0.240963855421687</v>
      </c>
    </row>
    <row r="20" customFormat="false" ht="18" hidden="false" customHeight="true" outlineLevel="0" collapsed="false">
      <c r="A20" s="28" t="str">
        <f aca="false">Lager!A5</f>
        <v>ART-002</v>
      </c>
      <c r="B20" s="28" t="str">
        <f aca="false">Lager!B5</f>
        <v>Schreibtisch 140cm</v>
      </c>
      <c r="C20" s="29" t="n">
        <f aca="false">Lager!G5</f>
        <v>6</v>
      </c>
      <c r="D20" s="30" t="str">
        <f aca="false">Lager!I5</f>
        <v>OK</v>
      </c>
      <c r="F20" s="31" t="s">
        <v>23</v>
      </c>
      <c r="G20" s="32" t="str">
        <f aca="false">IFERROR(INDEX(Artikel!B:B,MATCH(F20,Artikel!A:A,0)),"")</f>
        <v>Schreibtisch 140cm</v>
      </c>
      <c r="H20" s="33" t="n">
        <f aca="false">IFERROR(SUMIF(Abgaenge!A:A,F20,Abgaenge!C:C),0)</f>
        <v>5</v>
      </c>
      <c r="I20" s="34" t="n">
        <f aca="false">IFERROR(SUMPRODUCT((Abgaenge!A$4:A$1000=F20)*Abgaenge!C$4:C$1000*Abgaenge!G$4:G$1000),0)</f>
        <v>1495</v>
      </c>
      <c r="J20" s="34" t="n">
        <f aca="false">IFERROR(H20*INDEX(Artikel!D:D,MATCH(F20,Artikel!A:A,0)),0)</f>
        <v>1100</v>
      </c>
      <c r="K20" s="34" t="n">
        <f aca="false">I20-J20</f>
        <v>395</v>
      </c>
      <c r="L20" s="35" t="n">
        <f aca="false">IFERROR(K20/I20,0)</f>
        <v>0.264214046822742</v>
      </c>
    </row>
    <row r="21" customFormat="false" ht="18" hidden="false" customHeight="true" outlineLevel="0" collapsed="false">
      <c r="A21" s="20" t="str">
        <f aca="false">Lager!A6</f>
        <v>ART-003</v>
      </c>
      <c r="B21" s="20" t="str">
        <f aca="false">Lager!B6</f>
        <v>Druckerpapier A4 500Bl</v>
      </c>
      <c r="C21" s="21" t="n">
        <f aca="false">Lager!G6</f>
        <v>27</v>
      </c>
      <c r="D21" s="22" t="str">
        <f aca="false">Lager!I6</f>
        <v>OK</v>
      </c>
      <c r="F21" s="23" t="s">
        <v>24</v>
      </c>
      <c r="G21" s="24" t="str">
        <f aca="false">IFERROR(INDEX(Artikel!B:B,MATCH(F21,Artikel!A:A,0)),"")</f>
        <v>Druckerpapier A4 500Bl</v>
      </c>
      <c r="H21" s="25" t="n">
        <f aca="false">IFERROR(SUMIF(Abgaenge!A:A,F21,Abgaenge!C:C),0)</f>
        <v>38</v>
      </c>
      <c r="I21" s="26" t="n">
        <f aca="false">IFERROR(SUMPRODUCT((Abgaenge!A$4:A$1000=F21)*Abgaenge!C$4:C$1000*Abgaenge!G$4:G$1000),0)</f>
        <v>303.62</v>
      </c>
      <c r="J21" s="26" t="n">
        <f aca="false">IFERROR(H21*INDEX(Artikel!D:D,MATCH(F21,Artikel!A:A,0)),0)</f>
        <v>171</v>
      </c>
      <c r="K21" s="26" t="n">
        <f aca="false">I21-J21</f>
        <v>132.62</v>
      </c>
      <c r="L21" s="27" t="n">
        <f aca="false">IFERROR(K21/I21,0)</f>
        <v>0.436795994993742</v>
      </c>
    </row>
    <row r="22" customFormat="false" ht="18" hidden="false" customHeight="true" outlineLevel="0" collapsed="false">
      <c r="A22" s="28" t="str">
        <f aca="false">Lager!A7</f>
        <v>ART-004</v>
      </c>
      <c r="B22" s="28" t="str">
        <f aca="false">Lager!B7</f>
        <v>Kugelschreiber blau</v>
      </c>
      <c r="C22" s="29" t="n">
        <f aca="false">Lager!G7</f>
        <v>125</v>
      </c>
      <c r="D22" s="30" t="str">
        <f aca="false">Lager!I7</f>
        <v>OK</v>
      </c>
      <c r="F22" s="31" t="s">
        <v>25</v>
      </c>
      <c r="G22" s="32" t="str">
        <f aca="false">IFERROR(INDEX(Artikel!B:B,MATCH(F22,Artikel!A:A,0)),"")</f>
        <v>Kugelschreiber blau</v>
      </c>
      <c r="H22" s="33" t="n">
        <f aca="false">IFERROR(SUMIF(Abgaenge!A:A,F22,Abgaenge!C:C),0)</f>
        <v>45</v>
      </c>
      <c r="I22" s="34" t="n">
        <f aca="false">IFERROR(SUMPRODUCT((Abgaenge!A$4:A$1000=F22)*Abgaenge!C$4:C$1000*Abgaenge!G$4:G$1000),0)</f>
        <v>35.55</v>
      </c>
      <c r="J22" s="34" t="n">
        <f aca="false">IFERROR(H22*INDEX(Artikel!D:D,MATCH(F22,Artikel!A:A,0)),0)</f>
        <v>13.5</v>
      </c>
      <c r="K22" s="34" t="n">
        <f aca="false">I22-J22</f>
        <v>22.05</v>
      </c>
      <c r="L22" s="35" t="n">
        <f aca="false">IFERROR(K22/I22,0)</f>
        <v>0.620253164556962</v>
      </c>
    </row>
    <row r="23" customFormat="false" ht="18" hidden="false" customHeight="true" outlineLevel="0" collapsed="false">
      <c r="A23" s="20" t="str">
        <f aca="false">Lager!A8</f>
        <v>ART-005</v>
      </c>
      <c r="B23" s="20" t="str">
        <f aca="false">Lager!B8</f>
        <v>Laptop Stand</v>
      </c>
      <c r="C23" s="21" t="n">
        <f aca="false">Lager!G8</f>
        <v>15</v>
      </c>
      <c r="D23" s="22" t="str">
        <f aca="false">Lager!I8</f>
        <v>OK</v>
      </c>
      <c r="F23" s="23" t="s">
        <v>26</v>
      </c>
      <c r="G23" s="24" t="str">
        <f aca="false">IFERROR(INDEX(Artikel!B:B,MATCH(F23,Artikel!A:A,0)),"")</f>
        <v>Laptop Stand</v>
      </c>
      <c r="H23" s="25" t="n">
        <f aca="false">IFERROR(SUMIF(Abgaenge!A:A,F23,Abgaenge!C:C),0)</f>
        <v>8</v>
      </c>
      <c r="I23" s="26" t="n">
        <f aca="false">IFERROR(SUMPRODUCT((Abgaenge!A$4:A$1000=F23)*Abgaenge!C$4:C$1000*Abgaenge!G$4:G$1000),0)</f>
        <v>399.92</v>
      </c>
      <c r="J23" s="26" t="n">
        <f aca="false">IFERROR(H23*INDEX(Artikel!D:D,MATCH(F23,Artikel!A:A,0)),0)</f>
        <v>200</v>
      </c>
      <c r="K23" s="26" t="n">
        <f aca="false">I23-J23</f>
        <v>199.92</v>
      </c>
      <c r="L23" s="27" t="n">
        <f aca="false">IFERROR(K23/I23,0)</f>
        <v>0.499899979995999</v>
      </c>
    </row>
    <row r="24" customFormat="false" ht="18" hidden="false" customHeight="true" outlineLevel="0" collapsed="false">
      <c r="A24" s="28" t="str">
        <f aca="false">Lager!A9</f>
        <v>ART-006</v>
      </c>
      <c r="B24" s="28" t="str">
        <f aca="false">Lager!B9</f>
        <v>USB-C Hub 7-Port</v>
      </c>
      <c r="C24" s="29" t="n">
        <f aca="false">Lager!G9</f>
        <v>19</v>
      </c>
      <c r="D24" s="30" t="str">
        <f aca="false">Lager!I9</f>
        <v>OK</v>
      </c>
      <c r="F24" s="31" t="s">
        <v>27</v>
      </c>
      <c r="G24" s="32" t="str">
        <f aca="false">IFERROR(INDEX(Artikel!B:B,MATCH(F24,Artikel!A:A,0)),"")</f>
        <v>USB-C Hub 7-Port</v>
      </c>
      <c r="H24" s="33" t="n">
        <f aca="false">IFERROR(SUMIF(Abgaenge!A:A,F24,Abgaenge!C:C),0)</f>
        <v>13</v>
      </c>
      <c r="I24" s="34" t="n">
        <f aca="false">IFERROR(SUMPRODUCT((Abgaenge!A$4:A$1000=F24)*Abgaenge!C$4:C$1000*Abgaenge!G$4:G$1000),0)</f>
        <v>519.87</v>
      </c>
      <c r="J24" s="34" t="n">
        <f aca="false">IFERROR(H24*INDEX(Artikel!D:D,MATCH(F24,Artikel!A:A,0)),0)</f>
        <v>234</v>
      </c>
      <c r="K24" s="34" t="n">
        <f aca="false">I24-J24</f>
        <v>285.87</v>
      </c>
      <c r="L24" s="35" t="n">
        <f aca="false">IFERROR(K24/I24,0)</f>
        <v>0.549887471867967</v>
      </c>
    </row>
    <row r="25" customFormat="false" ht="18" hidden="false" customHeight="true" outlineLevel="0" collapsed="false">
      <c r="A25" s="20" t="str">
        <f aca="false">Lager!A10</f>
        <v>ART-007</v>
      </c>
      <c r="B25" s="20" t="str">
        <f aca="false">Lager!B10</f>
        <v>Aktenschrank 4-türig</v>
      </c>
      <c r="C25" s="21" t="n">
        <f aca="false">Lager!G10</f>
        <v>2</v>
      </c>
      <c r="D25" s="22" t="str">
        <f aca="false">Lager!I10</f>
        <v>OK</v>
      </c>
      <c r="F25" s="23" t="s">
        <v>28</v>
      </c>
      <c r="G25" s="24" t="str">
        <f aca="false">IFERROR(INDEX(Artikel!B:B,MATCH(F25,Artikel!A:A,0)),"")</f>
        <v>Aktenschrank 4-türig</v>
      </c>
      <c r="H25" s="25" t="n">
        <f aca="false">IFERROR(SUMIF(Abgaenge!A:A,F25,Abgaenge!C:C),0)</f>
        <v>5</v>
      </c>
      <c r="I25" s="26" t="n">
        <f aca="false">IFERROR(SUMPRODUCT((Abgaenge!A$4:A$1000=F25)*Abgaenge!C$4:C$1000*Abgaenge!G$4:G$1000),0)</f>
        <v>2245</v>
      </c>
      <c r="J25" s="26" t="n">
        <f aca="false">IFERROR(H25*INDEX(Artikel!D:D,MATCH(F25,Artikel!A:A,0)),0)</f>
        <v>1550</v>
      </c>
      <c r="K25" s="26" t="n">
        <f aca="false">I25-J25</f>
        <v>695</v>
      </c>
      <c r="L25" s="27" t="n">
        <f aca="false">IFERROR(K25/I25,0)</f>
        <v>0.309576837416481</v>
      </c>
    </row>
    <row r="26" customFormat="false" ht="18" hidden="false" customHeight="true" outlineLevel="0" collapsed="false">
      <c r="A26" s="28" t="str">
        <f aca="false">Lager!A11</f>
        <v>ART-008</v>
      </c>
      <c r="B26" s="28" t="str">
        <f aca="false">Lager!B11</f>
        <v>Toner HP LaserJet</v>
      </c>
      <c r="C26" s="29" t="n">
        <f aca="false">Lager!G11</f>
        <v>10</v>
      </c>
      <c r="D26" s="30" t="str">
        <f aca="false">Lager!I11</f>
        <v>OK</v>
      </c>
      <c r="F26" s="31" t="s">
        <v>29</v>
      </c>
      <c r="G26" s="32" t="str">
        <f aca="false">IFERROR(INDEX(Artikel!B:B,MATCH(F26,Artikel!A:A,0)),"")</f>
        <v>Toner HP LaserJet</v>
      </c>
      <c r="H26" s="33" t="n">
        <f aca="false">IFERROR(SUMIF(Abgaenge!A:A,F26,Abgaenge!C:C),0)</f>
        <v>10</v>
      </c>
      <c r="I26" s="34" t="n">
        <f aca="false">IFERROR(SUMPRODUCT((Abgaenge!A$4:A$1000=F26)*Abgaenge!C$4:C$1000*Abgaenge!G$4:G$1000),0)</f>
        <v>699.9</v>
      </c>
      <c r="J26" s="34" t="n">
        <f aca="false">IFERROR(H26*INDEX(Artikel!D:D,MATCH(F26,Artikel!A:A,0)),0)</f>
        <v>420</v>
      </c>
      <c r="K26" s="34" t="n">
        <f aca="false">I26-J26</f>
        <v>279.9</v>
      </c>
      <c r="L26" s="35" t="n">
        <f aca="false">IFERROR(K26/I26,0)</f>
        <v>0.399914273467638</v>
      </c>
    </row>
    <row r="27" customFormat="false" ht="18" hidden="false" customHeight="true" outlineLevel="0" collapsed="false">
      <c r="A27" s="20" t="str">
        <f aca="false">Lager!A12</f>
        <v>ART-009</v>
      </c>
      <c r="B27" s="20" t="str">
        <f aca="false">Lager!B12</f>
        <v>Whiteboard 120x90</v>
      </c>
      <c r="C27" s="21" t="n">
        <f aca="false">Lager!G12</f>
        <v>6</v>
      </c>
      <c r="D27" s="22" t="str">
        <f aca="false">Lager!I12</f>
        <v>OK</v>
      </c>
      <c r="F27" s="23" t="s">
        <v>30</v>
      </c>
      <c r="G27" s="24" t="str">
        <f aca="false">IFERROR(INDEX(Artikel!B:B,MATCH(F27,Artikel!A:A,0)),"")</f>
        <v>Whiteboard 120x90</v>
      </c>
      <c r="H27" s="25" t="n">
        <f aca="false">IFERROR(SUMIF(Abgaenge!A:A,F27,Abgaenge!C:C),0)</f>
        <v>4</v>
      </c>
      <c r="I27" s="26" t="n">
        <f aca="false">IFERROR(SUMPRODUCT((Abgaenge!A$4:A$1000=F27)*Abgaenge!C$4:C$1000*Abgaenge!G$4:G$1000),0)</f>
        <v>356</v>
      </c>
      <c r="J27" s="26" t="n">
        <f aca="false">IFERROR(H27*INDEX(Artikel!D:D,MATCH(F27,Artikel!A:A,0)),0)</f>
        <v>220</v>
      </c>
      <c r="K27" s="26" t="n">
        <f aca="false">I27-J27</f>
        <v>136</v>
      </c>
      <c r="L27" s="27" t="n">
        <f aca="false">IFERROR(K27/I27,0)</f>
        <v>0.382022471910112</v>
      </c>
    </row>
    <row r="28" customFormat="false" ht="18" hidden="false" customHeight="true" outlineLevel="0" collapsed="false">
      <c r="A28" s="28" t="str">
        <f aca="false">Lager!A13</f>
        <v>ART-010</v>
      </c>
      <c r="B28" s="28" t="str">
        <f aca="false">Lager!B13</f>
        <v>Haftnotizen 100er Pack</v>
      </c>
      <c r="C28" s="29" t="n">
        <f aca="false">Lager!G13</f>
        <v>70</v>
      </c>
      <c r="D28" s="30" t="str">
        <f aca="false">Lager!I13</f>
        <v>OK</v>
      </c>
      <c r="F28" s="31" t="s">
        <v>31</v>
      </c>
      <c r="G28" s="32" t="str">
        <f aca="false">IFERROR(INDEX(Artikel!B:B,MATCH(F28,Artikel!A:A,0)),"")</f>
        <v>Haftnotizen 100er Pack</v>
      </c>
      <c r="H28" s="33" t="n">
        <f aca="false">IFERROR(SUMIF(Abgaenge!A:A,F28,Abgaenge!C:C),0)</f>
        <v>40</v>
      </c>
      <c r="I28" s="34" t="n">
        <f aca="false">IFERROR(SUMPRODUCT((Abgaenge!A$4:A$1000=F28)*Abgaenge!C$4:C$1000*Abgaenge!G$4:G$1000),0)</f>
        <v>99.6</v>
      </c>
      <c r="J28" s="34" t="n">
        <f aca="false">IFERROR(H28*INDEX(Artikel!D:D,MATCH(F28,Artikel!A:A,0)),0)</f>
        <v>48</v>
      </c>
      <c r="K28" s="34" t="n">
        <f aca="false">I28-J28</f>
        <v>51.6</v>
      </c>
      <c r="L28" s="35" t="n">
        <f aca="false">IFERROR(K28/I28,0)</f>
        <v>0.518072289156627</v>
      </c>
    </row>
    <row r="29" customFormat="false" ht="15" hidden="false" customHeight="false" outlineLevel="0" collapsed="false">
      <c r="F29" s="36" t="s">
        <v>32</v>
      </c>
      <c r="G29" s="36"/>
      <c r="H29" s="36"/>
      <c r="I29" s="37" t="n">
        <f aca="false">SUM(I19:I28)</f>
        <v>7399.46</v>
      </c>
      <c r="J29" s="37" t="n">
        <f aca="false">SUM(J19:J28)</f>
        <v>4901.5</v>
      </c>
      <c r="K29" s="37" t="n">
        <f aca="false">SUM(K19:K28)</f>
        <v>2497.96</v>
      </c>
      <c r="L29" s="38" t="n">
        <f aca="false">IFERROR(L29/I29,0)</f>
        <v>0</v>
      </c>
    </row>
    <row r="32" customFormat="false" ht="18" hidden="false" customHeight="true" outlineLevel="0" collapsed="false">
      <c r="A32" s="39" t="s">
        <v>33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</sheetData>
  <mergeCells count="24">
    <mergeCell ref="A1:L1"/>
    <mergeCell ref="A2:L2"/>
    <mergeCell ref="A4:C4"/>
    <mergeCell ref="E4:G4"/>
    <mergeCell ref="I4:K4"/>
    <mergeCell ref="A5:C6"/>
    <mergeCell ref="E5:G6"/>
    <mergeCell ref="I5:K6"/>
    <mergeCell ref="A8:C8"/>
    <mergeCell ref="E8:G8"/>
    <mergeCell ref="I8:K8"/>
    <mergeCell ref="A9:C10"/>
    <mergeCell ref="E9:G10"/>
    <mergeCell ref="I9:K10"/>
    <mergeCell ref="A12:C12"/>
    <mergeCell ref="E12:G12"/>
    <mergeCell ref="I12:K12"/>
    <mergeCell ref="A13:C14"/>
    <mergeCell ref="E13:G14"/>
    <mergeCell ref="I13:K14"/>
    <mergeCell ref="A17:D17"/>
    <mergeCell ref="F17:L17"/>
    <mergeCell ref="F29:H29"/>
    <mergeCell ref="A32:L32"/>
  </mergeCells>
  <conditionalFormatting sqref="D19:D28">
    <cfRule type="expression" priority="2" aboveAverage="0" equalAverage="0" bottom="0" percent="0" rank="0" text="" dxfId="0">
      <formula>$D19="NACHBESTELLEN"</formula>
    </cfRule>
    <cfRule type="expression" priority="3" aboveAverage="0" equalAverage="0" bottom="0" percent="0" rank="0" text="" dxfId="1">
      <formula>$D19="OK"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6" min="4" style="0" width="14"/>
    <col collapsed="false" customWidth="true" hidden="false" outlineLevel="0" max="7" min="7" style="0" width="12"/>
    <col collapsed="false" customWidth="true" hidden="false" outlineLevel="0" max="8" min="8" style="0" width="20"/>
    <col collapsed="false" customWidth="true" hidden="false" outlineLevel="0" max="9" min="9" style="0" width="10"/>
    <col collapsed="false" customWidth="true" hidden="false" outlineLevel="0" max="10" min="10" style="0" width="22"/>
  </cols>
  <sheetData>
    <row r="1" customFormat="false" ht="30" hidden="false" customHeight="true" outlineLevel="0" collapsed="false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</row>
    <row r="2" customFormat="false" ht="15.75" hidden="false" customHeight="true" outlineLevel="0" collapsed="false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1.5" hidden="false" customHeight="true" outlineLevel="0" collapsed="false">
      <c r="A3" s="41" t="s">
        <v>36</v>
      </c>
      <c r="B3" s="41" t="s">
        <v>37</v>
      </c>
      <c r="C3" s="41" t="s">
        <v>38</v>
      </c>
      <c r="D3" s="41" t="s">
        <v>39</v>
      </c>
      <c r="E3" s="41" t="s">
        <v>40</v>
      </c>
      <c r="F3" s="41" t="s">
        <v>41</v>
      </c>
      <c r="G3" s="41" t="s">
        <v>42</v>
      </c>
      <c r="H3" s="41" t="s">
        <v>43</v>
      </c>
      <c r="I3" s="41" t="s">
        <v>44</v>
      </c>
      <c r="J3" s="41" t="s">
        <v>45</v>
      </c>
    </row>
    <row r="4" customFormat="false" ht="15" hidden="false" customHeight="false" outlineLevel="0" collapsed="false">
      <c r="A4" s="28" t="s">
        <v>22</v>
      </c>
      <c r="B4" s="28" t="s">
        <v>46</v>
      </c>
      <c r="C4" s="28" t="s">
        <v>47</v>
      </c>
      <c r="D4" s="42" t="n">
        <v>189</v>
      </c>
      <c r="E4" s="42" t="n">
        <v>249</v>
      </c>
      <c r="F4" s="29" t="n">
        <v>5</v>
      </c>
      <c r="G4" s="28" t="s">
        <v>48</v>
      </c>
      <c r="H4" s="28" t="s">
        <v>49</v>
      </c>
      <c r="I4" s="30" t="s">
        <v>50</v>
      </c>
      <c r="J4" s="28"/>
    </row>
    <row r="5" customFormat="false" ht="15" hidden="false" customHeight="false" outlineLevel="0" collapsed="false">
      <c r="A5" s="43" t="s">
        <v>23</v>
      </c>
      <c r="B5" s="43" t="s">
        <v>51</v>
      </c>
      <c r="C5" s="43" t="s">
        <v>47</v>
      </c>
      <c r="D5" s="44" t="n">
        <v>220</v>
      </c>
      <c r="E5" s="44" t="n">
        <v>299</v>
      </c>
      <c r="F5" s="45" t="n">
        <v>3</v>
      </c>
      <c r="G5" s="43" t="s">
        <v>52</v>
      </c>
      <c r="H5" s="43" t="s">
        <v>49</v>
      </c>
      <c r="I5" s="46" t="s">
        <v>50</v>
      </c>
      <c r="J5" s="43"/>
    </row>
    <row r="6" customFormat="false" ht="15" hidden="false" customHeight="false" outlineLevel="0" collapsed="false">
      <c r="A6" s="28" t="s">
        <v>24</v>
      </c>
      <c r="B6" s="28" t="s">
        <v>53</v>
      </c>
      <c r="C6" s="28" t="s">
        <v>54</v>
      </c>
      <c r="D6" s="42" t="n">
        <v>4.5</v>
      </c>
      <c r="E6" s="42" t="n">
        <v>7.99</v>
      </c>
      <c r="F6" s="29" t="n">
        <v>20</v>
      </c>
      <c r="G6" s="28" t="s">
        <v>55</v>
      </c>
      <c r="H6" s="28" t="s">
        <v>56</v>
      </c>
      <c r="I6" s="30" t="s">
        <v>50</v>
      </c>
      <c r="J6" s="28" t="s">
        <v>57</v>
      </c>
    </row>
    <row r="7" customFormat="false" ht="15" hidden="false" customHeight="false" outlineLevel="0" collapsed="false">
      <c r="A7" s="43" t="s">
        <v>25</v>
      </c>
      <c r="B7" s="43" t="s">
        <v>58</v>
      </c>
      <c r="C7" s="43" t="s">
        <v>54</v>
      </c>
      <c r="D7" s="44" t="n">
        <v>0.3</v>
      </c>
      <c r="E7" s="44" t="n">
        <v>0.79</v>
      </c>
      <c r="F7" s="45" t="n">
        <v>50</v>
      </c>
      <c r="G7" s="43" t="s">
        <v>59</v>
      </c>
      <c r="H7" s="43" t="s">
        <v>60</v>
      </c>
      <c r="I7" s="46" t="s">
        <v>50</v>
      </c>
      <c r="J7" s="43"/>
    </row>
    <row r="8" customFormat="false" ht="15" hidden="false" customHeight="false" outlineLevel="0" collapsed="false">
      <c r="A8" s="28" t="s">
        <v>26</v>
      </c>
      <c r="B8" s="28" t="s">
        <v>61</v>
      </c>
      <c r="C8" s="28" t="s">
        <v>62</v>
      </c>
      <c r="D8" s="42" t="n">
        <v>25</v>
      </c>
      <c r="E8" s="42" t="n">
        <v>49.99</v>
      </c>
      <c r="F8" s="29" t="n">
        <v>8</v>
      </c>
      <c r="G8" s="28" t="s">
        <v>63</v>
      </c>
      <c r="H8" s="28" t="s">
        <v>64</v>
      </c>
      <c r="I8" s="30" t="s">
        <v>50</v>
      </c>
      <c r="J8" s="28"/>
    </row>
    <row r="9" customFormat="false" ht="15" hidden="false" customHeight="false" outlineLevel="0" collapsed="false">
      <c r="A9" s="43" t="s">
        <v>27</v>
      </c>
      <c r="B9" s="43" t="s">
        <v>65</v>
      </c>
      <c r="C9" s="43" t="s">
        <v>62</v>
      </c>
      <c r="D9" s="44" t="n">
        <v>18</v>
      </c>
      <c r="E9" s="44" t="n">
        <v>39.99</v>
      </c>
      <c r="F9" s="45" t="n">
        <v>10</v>
      </c>
      <c r="G9" s="43" t="s">
        <v>66</v>
      </c>
      <c r="H9" s="43" t="s">
        <v>64</v>
      </c>
      <c r="I9" s="46" t="s">
        <v>50</v>
      </c>
      <c r="J9" s="43"/>
    </row>
    <row r="10" customFormat="false" ht="15" hidden="false" customHeight="false" outlineLevel="0" collapsed="false">
      <c r="A10" s="28" t="s">
        <v>28</v>
      </c>
      <c r="B10" s="28" t="s">
        <v>67</v>
      </c>
      <c r="C10" s="28" t="s">
        <v>47</v>
      </c>
      <c r="D10" s="42" t="n">
        <v>310</v>
      </c>
      <c r="E10" s="42" t="n">
        <v>449</v>
      </c>
      <c r="F10" s="29" t="n">
        <v>2</v>
      </c>
      <c r="G10" s="28" t="s">
        <v>68</v>
      </c>
      <c r="H10" s="28" t="s">
        <v>49</v>
      </c>
      <c r="I10" s="30" t="s">
        <v>50</v>
      </c>
      <c r="J10" s="28"/>
    </row>
    <row r="11" customFormat="false" ht="15" hidden="false" customHeight="false" outlineLevel="0" collapsed="false">
      <c r="A11" s="43" t="s">
        <v>29</v>
      </c>
      <c r="B11" s="43" t="s">
        <v>69</v>
      </c>
      <c r="C11" s="43" t="s">
        <v>62</v>
      </c>
      <c r="D11" s="44" t="n">
        <v>42</v>
      </c>
      <c r="E11" s="44" t="n">
        <v>69.99</v>
      </c>
      <c r="F11" s="45" t="n">
        <v>6</v>
      </c>
      <c r="G11" s="43" t="s">
        <v>70</v>
      </c>
      <c r="H11" s="43" t="s">
        <v>56</v>
      </c>
      <c r="I11" s="46" t="s">
        <v>50</v>
      </c>
      <c r="J11" s="43"/>
    </row>
    <row r="12" customFormat="false" ht="15" hidden="false" customHeight="false" outlineLevel="0" collapsed="false">
      <c r="A12" s="28" t="s">
        <v>30</v>
      </c>
      <c r="B12" s="28" t="s">
        <v>71</v>
      </c>
      <c r="C12" s="28" t="s">
        <v>54</v>
      </c>
      <c r="D12" s="42" t="n">
        <v>55</v>
      </c>
      <c r="E12" s="42" t="n">
        <v>89</v>
      </c>
      <c r="F12" s="29" t="n">
        <v>3</v>
      </c>
      <c r="G12" s="28" t="s">
        <v>72</v>
      </c>
      <c r="H12" s="28" t="s">
        <v>73</v>
      </c>
      <c r="I12" s="30" t="s">
        <v>50</v>
      </c>
      <c r="J12" s="28"/>
    </row>
    <row r="13" customFormat="false" ht="15" hidden="false" customHeight="false" outlineLevel="0" collapsed="false">
      <c r="A13" s="43" t="s">
        <v>31</v>
      </c>
      <c r="B13" s="43" t="s">
        <v>74</v>
      </c>
      <c r="C13" s="43" t="s">
        <v>54</v>
      </c>
      <c r="D13" s="44" t="n">
        <v>1.2</v>
      </c>
      <c r="E13" s="44" t="n">
        <v>2.49</v>
      </c>
      <c r="F13" s="45" t="n">
        <v>30</v>
      </c>
      <c r="G13" s="43" t="s">
        <v>75</v>
      </c>
      <c r="H13" s="43" t="s">
        <v>60</v>
      </c>
      <c r="I13" s="46" t="s">
        <v>50</v>
      </c>
      <c r="J13" s="43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8"/>
    <col collapsed="false" customWidth="true" hidden="false" outlineLevel="0" max="3" min="3" style="0" width="11"/>
    <col collapsed="false" customWidth="true" hidden="false" outlineLevel="0" max="4" min="4" style="0" width="14"/>
    <col collapsed="false" customWidth="true" hidden="false" outlineLevel="0" max="6" min="5" style="0" width="13"/>
    <col collapsed="false" customWidth="true" hidden="false" outlineLevel="0" max="7" min="7" style="0" width="15"/>
    <col collapsed="false" customWidth="true" hidden="false" outlineLevel="0" max="8" min="8" style="0" width="13"/>
    <col collapsed="false" customWidth="true" hidden="false" outlineLevel="0" max="9" min="9" style="0" width="16"/>
    <col collapsed="false" customWidth="true" hidden="false" outlineLevel="0" max="10" min="10" style="0" width="15"/>
  </cols>
  <sheetData>
    <row r="1" customFormat="false" ht="30" hidden="false" customHeight="true" outlineLevel="0" collapsed="false">
      <c r="A1" s="47" t="s">
        <v>76</v>
      </c>
      <c r="B1" s="47"/>
      <c r="C1" s="47"/>
      <c r="D1" s="47"/>
      <c r="E1" s="47"/>
      <c r="F1" s="47"/>
      <c r="G1" s="47"/>
      <c r="H1" s="47"/>
      <c r="I1" s="47"/>
      <c r="J1" s="47"/>
    </row>
    <row r="2" customFormat="false" ht="15.75" hidden="false" customHeight="true" outlineLevel="0" collapsed="false">
      <c r="A2" s="2" t="s">
        <v>77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1.5" hidden="false" customHeight="true" outlineLevel="0" collapsed="false">
      <c r="A3" s="19" t="s">
        <v>36</v>
      </c>
      <c r="B3" s="19" t="s">
        <v>37</v>
      </c>
      <c r="C3" s="19" t="s">
        <v>42</v>
      </c>
      <c r="D3" s="19" t="s">
        <v>78</v>
      </c>
      <c r="E3" s="19" t="s">
        <v>79</v>
      </c>
      <c r="F3" s="19" t="s">
        <v>80</v>
      </c>
      <c r="G3" s="19" t="s">
        <v>81</v>
      </c>
      <c r="H3" s="19" t="s">
        <v>82</v>
      </c>
      <c r="I3" s="19" t="s">
        <v>16</v>
      </c>
      <c r="J3" s="19" t="s">
        <v>83</v>
      </c>
    </row>
    <row r="4" customFormat="false" ht="15" hidden="false" customHeight="false" outlineLevel="0" collapsed="false">
      <c r="A4" s="48" t="s">
        <v>22</v>
      </c>
      <c r="B4" s="28" t="str">
        <f aca="false">IFERROR(INDEX(Artikel!B:B,MATCH(A4,Artikel!A:A,0)),"Unbekannt")</f>
        <v>Bürostuhl Comfort Pro</v>
      </c>
      <c r="C4" s="30" t="str">
        <f aca="false">IFERROR(INDEX(Artikel!G:G,MATCH(A4,Artikel!A:A,0)),"")</f>
        <v>Regal A1</v>
      </c>
      <c r="D4" s="49" t="n">
        <v>12</v>
      </c>
      <c r="E4" s="29" t="n">
        <f aca="false">IFERROR(SUMIF(Zugaenge!A:A,A4,Zugaenge!C:C),0)</f>
        <v>5</v>
      </c>
      <c r="F4" s="29" t="n">
        <f aca="false">IFERROR(SUMIF(Abgaenge!A:A,A4,Abgaenge!C:C),0)</f>
        <v>5</v>
      </c>
      <c r="G4" s="50" t="n">
        <f aca="false">D4+E4-F4</f>
        <v>12</v>
      </c>
      <c r="H4" s="29" t="n">
        <f aca="false">IFERROR(INDEX(Artikel!F:F,MATCH(A4,Artikel!A:A,0)),5)</f>
        <v>5</v>
      </c>
      <c r="I4" s="51" t="str">
        <f aca="false">IF(G4&lt;H4,"NACHBESTELLEN","OK")</f>
        <v>OK</v>
      </c>
      <c r="J4" s="42" t="n">
        <f aca="false">IFERROR(G4*INDEX(Artikel!D:D,MATCH(A4,Artikel!A:A,0)),0)</f>
        <v>2268</v>
      </c>
    </row>
    <row r="5" customFormat="false" ht="15" hidden="false" customHeight="false" outlineLevel="0" collapsed="false">
      <c r="A5" s="52" t="s">
        <v>23</v>
      </c>
      <c r="B5" s="43" t="str">
        <f aca="false">IFERROR(INDEX(Artikel!B:B,MATCH(A5,Artikel!A:A,0)),"Unbekannt")</f>
        <v>Schreibtisch 140cm</v>
      </c>
      <c r="C5" s="46" t="str">
        <f aca="false">IFERROR(INDEX(Artikel!G:G,MATCH(A5,Artikel!A:A,0)),"")</f>
        <v>Regal A2</v>
      </c>
      <c r="D5" s="53" t="n">
        <v>8</v>
      </c>
      <c r="E5" s="45" t="n">
        <f aca="false">IFERROR(SUMIF(Zugaenge!A:A,A5,Zugaenge!C:C),0)</f>
        <v>3</v>
      </c>
      <c r="F5" s="45" t="n">
        <f aca="false">IFERROR(SUMIF(Abgaenge!A:A,A5,Abgaenge!C:C),0)</f>
        <v>5</v>
      </c>
      <c r="G5" s="50" t="n">
        <f aca="false">D5+E5-F5</f>
        <v>6</v>
      </c>
      <c r="H5" s="45" t="n">
        <f aca="false">IFERROR(INDEX(Artikel!F:F,MATCH(A5,Artikel!A:A,0)),3)</f>
        <v>3</v>
      </c>
      <c r="I5" s="51" t="str">
        <f aca="false">IF(G5&lt;H5,"NACHBESTELLEN","OK")</f>
        <v>OK</v>
      </c>
      <c r="J5" s="44" t="n">
        <f aca="false">IFERROR(G5*INDEX(Artikel!D:D,MATCH(A5,Artikel!A:A,0)),0)</f>
        <v>1320</v>
      </c>
    </row>
    <row r="6" customFormat="false" ht="15" hidden="false" customHeight="false" outlineLevel="0" collapsed="false">
      <c r="A6" s="48" t="s">
        <v>24</v>
      </c>
      <c r="B6" s="28" t="str">
        <f aca="false">IFERROR(INDEX(Artikel!B:B,MATCH(A6,Artikel!A:A,0)),"Unbekannt")</f>
        <v>Druckerpapier A4 500Bl</v>
      </c>
      <c r="C6" s="30" t="str">
        <f aca="false">IFERROR(INDEX(Artikel!G:G,MATCH(A6,Artikel!A:A,0)),"")</f>
        <v>Regal B1</v>
      </c>
      <c r="D6" s="49" t="n">
        <v>45</v>
      </c>
      <c r="E6" s="29" t="n">
        <f aca="false">IFERROR(SUMIF(Zugaenge!A:A,A6,Zugaenge!C:C),0)</f>
        <v>20</v>
      </c>
      <c r="F6" s="29" t="n">
        <f aca="false">IFERROR(SUMIF(Abgaenge!A:A,A6,Abgaenge!C:C),0)</f>
        <v>38</v>
      </c>
      <c r="G6" s="50" t="n">
        <f aca="false">D6+E6-F6</f>
        <v>27</v>
      </c>
      <c r="H6" s="29" t="n">
        <f aca="false">IFERROR(INDEX(Artikel!F:F,MATCH(A6,Artikel!A:A,0)),20)</f>
        <v>20</v>
      </c>
      <c r="I6" s="51" t="str">
        <f aca="false">IF(G6&lt;H6,"NACHBESTELLEN","OK")</f>
        <v>OK</v>
      </c>
      <c r="J6" s="42" t="n">
        <f aca="false">IFERROR(G6*INDEX(Artikel!D:D,MATCH(A6,Artikel!A:A,0)),0)</f>
        <v>121.5</v>
      </c>
    </row>
    <row r="7" customFormat="false" ht="15" hidden="false" customHeight="false" outlineLevel="0" collapsed="false">
      <c r="A7" s="52" t="s">
        <v>25</v>
      </c>
      <c r="B7" s="43" t="str">
        <f aca="false">IFERROR(INDEX(Artikel!B:B,MATCH(A7,Artikel!A:A,0)),"Unbekannt")</f>
        <v>Kugelschreiber blau</v>
      </c>
      <c r="C7" s="46" t="str">
        <f aca="false">IFERROR(INDEX(Artikel!G:G,MATCH(A7,Artikel!A:A,0)),"")</f>
        <v>Regal B2</v>
      </c>
      <c r="D7" s="53" t="n">
        <v>120</v>
      </c>
      <c r="E7" s="45" t="n">
        <f aca="false">IFERROR(SUMIF(Zugaenge!A:A,A7,Zugaenge!C:C),0)</f>
        <v>50</v>
      </c>
      <c r="F7" s="45" t="n">
        <f aca="false">IFERROR(SUMIF(Abgaenge!A:A,A7,Abgaenge!C:C),0)</f>
        <v>45</v>
      </c>
      <c r="G7" s="50" t="n">
        <f aca="false">D7+E7-F7</f>
        <v>125</v>
      </c>
      <c r="H7" s="45" t="n">
        <f aca="false">IFERROR(INDEX(Artikel!F:F,MATCH(A7,Artikel!A:A,0)),50)</f>
        <v>50</v>
      </c>
      <c r="I7" s="51" t="str">
        <f aca="false">IF(G7&lt;H7,"NACHBESTELLEN","OK")</f>
        <v>OK</v>
      </c>
      <c r="J7" s="44" t="n">
        <f aca="false">IFERROR(G7*INDEX(Artikel!D:D,MATCH(A7,Artikel!A:A,0)),0)</f>
        <v>37.5</v>
      </c>
    </row>
    <row r="8" customFormat="false" ht="15" hidden="false" customHeight="false" outlineLevel="0" collapsed="false">
      <c r="A8" s="48" t="s">
        <v>26</v>
      </c>
      <c r="B8" s="28" t="str">
        <f aca="false">IFERROR(INDEX(Artikel!B:B,MATCH(A8,Artikel!A:A,0)),"Unbekannt")</f>
        <v>Laptop Stand</v>
      </c>
      <c r="C8" s="30" t="str">
        <f aca="false">IFERROR(INDEX(Artikel!G:G,MATCH(A8,Artikel!A:A,0)),"")</f>
        <v>Regal C1</v>
      </c>
      <c r="D8" s="49" t="n">
        <v>15</v>
      </c>
      <c r="E8" s="29" t="n">
        <f aca="false">IFERROR(SUMIF(Zugaenge!A:A,A8,Zugaenge!C:C),0)</f>
        <v>8</v>
      </c>
      <c r="F8" s="29" t="n">
        <f aca="false">IFERROR(SUMIF(Abgaenge!A:A,A8,Abgaenge!C:C),0)</f>
        <v>8</v>
      </c>
      <c r="G8" s="50" t="n">
        <f aca="false">D8+E8-F8</f>
        <v>15</v>
      </c>
      <c r="H8" s="29" t="n">
        <f aca="false">IFERROR(INDEX(Artikel!F:F,MATCH(A8,Artikel!A:A,0)),8)</f>
        <v>8</v>
      </c>
      <c r="I8" s="51" t="str">
        <f aca="false">IF(G8&lt;H8,"NACHBESTELLEN","OK")</f>
        <v>OK</v>
      </c>
      <c r="J8" s="42" t="n">
        <f aca="false">IFERROR(G8*INDEX(Artikel!D:D,MATCH(A8,Artikel!A:A,0)),0)</f>
        <v>375</v>
      </c>
    </row>
    <row r="9" customFormat="false" ht="15" hidden="false" customHeight="false" outlineLevel="0" collapsed="false">
      <c r="A9" s="52" t="s">
        <v>27</v>
      </c>
      <c r="B9" s="43" t="str">
        <f aca="false">IFERROR(INDEX(Artikel!B:B,MATCH(A9,Artikel!A:A,0)),"Unbekannt")</f>
        <v>USB-C Hub 7-Port</v>
      </c>
      <c r="C9" s="46" t="str">
        <f aca="false">IFERROR(INDEX(Artikel!G:G,MATCH(A9,Artikel!A:A,0)),"")</f>
        <v>Regal C2</v>
      </c>
      <c r="D9" s="53" t="n">
        <v>22</v>
      </c>
      <c r="E9" s="45" t="n">
        <f aca="false">IFERROR(SUMIF(Zugaenge!A:A,A9,Zugaenge!C:C),0)</f>
        <v>10</v>
      </c>
      <c r="F9" s="45" t="n">
        <f aca="false">IFERROR(SUMIF(Abgaenge!A:A,A9,Abgaenge!C:C),0)</f>
        <v>13</v>
      </c>
      <c r="G9" s="50" t="n">
        <f aca="false">D9+E9-F9</f>
        <v>19</v>
      </c>
      <c r="H9" s="45" t="n">
        <f aca="false">IFERROR(INDEX(Artikel!F:F,MATCH(A9,Artikel!A:A,0)),10)</f>
        <v>10</v>
      </c>
      <c r="I9" s="51" t="str">
        <f aca="false">IF(G9&lt;H9,"NACHBESTELLEN","OK")</f>
        <v>OK</v>
      </c>
      <c r="J9" s="44" t="n">
        <f aca="false">IFERROR(G9*INDEX(Artikel!D:D,MATCH(A9,Artikel!A:A,0)),0)</f>
        <v>342</v>
      </c>
    </row>
    <row r="10" customFormat="false" ht="15" hidden="false" customHeight="false" outlineLevel="0" collapsed="false">
      <c r="A10" s="48" t="s">
        <v>28</v>
      </c>
      <c r="B10" s="28" t="str">
        <f aca="false">IFERROR(INDEX(Artikel!B:B,MATCH(A10,Artikel!A:A,0)),"Unbekannt")</f>
        <v>Aktenschrank 4-türig</v>
      </c>
      <c r="C10" s="30" t="str">
        <f aca="false">IFERROR(INDEX(Artikel!G:G,MATCH(A10,Artikel!A:A,0)),"")</f>
        <v>Regal A3</v>
      </c>
      <c r="D10" s="49" t="n">
        <v>5</v>
      </c>
      <c r="E10" s="29" t="n">
        <f aca="false">IFERROR(SUMIF(Zugaenge!A:A,A10,Zugaenge!C:C),0)</f>
        <v>2</v>
      </c>
      <c r="F10" s="29" t="n">
        <f aca="false">IFERROR(SUMIF(Abgaenge!A:A,A10,Abgaenge!C:C),0)</f>
        <v>5</v>
      </c>
      <c r="G10" s="50" t="n">
        <f aca="false">D10+E10-F10</f>
        <v>2</v>
      </c>
      <c r="H10" s="29" t="n">
        <f aca="false">IFERROR(INDEX(Artikel!F:F,MATCH(A10,Artikel!A:A,0)),2)</f>
        <v>2</v>
      </c>
      <c r="I10" s="51" t="str">
        <f aca="false">IF(G10&lt;H10,"NACHBESTELLEN","OK")</f>
        <v>OK</v>
      </c>
      <c r="J10" s="42" t="n">
        <f aca="false">IFERROR(G10*INDEX(Artikel!D:D,MATCH(A10,Artikel!A:A,0)),0)</f>
        <v>620</v>
      </c>
    </row>
    <row r="11" customFormat="false" ht="15" hidden="false" customHeight="false" outlineLevel="0" collapsed="false">
      <c r="A11" s="52" t="s">
        <v>29</v>
      </c>
      <c r="B11" s="43" t="str">
        <f aca="false">IFERROR(INDEX(Artikel!B:B,MATCH(A11,Artikel!A:A,0)),"Unbekannt")</f>
        <v>Toner HP LaserJet</v>
      </c>
      <c r="C11" s="46" t="str">
        <f aca="false">IFERROR(INDEX(Artikel!G:G,MATCH(A11,Artikel!A:A,0)),"")</f>
        <v>Regal C3</v>
      </c>
      <c r="D11" s="53" t="n">
        <v>14</v>
      </c>
      <c r="E11" s="45" t="n">
        <f aca="false">IFERROR(SUMIF(Zugaenge!A:A,A11,Zugaenge!C:C),0)</f>
        <v>6</v>
      </c>
      <c r="F11" s="45" t="n">
        <f aca="false">IFERROR(SUMIF(Abgaenge!A:A,A11,Abgaenge!C:C),0)</f>
        <v>10</v>
      </c>
      <c r="G11" s="50" t="n">
        <f aca="false">D11+E11-F11</f>
        <v>10</v>
      </c>
      <c r="H11" s="45" t="n">
        <f aca="false">IFERROR(INDEX(Artikel!F:F,MATCH(A11,Artikel!A:A,0)),6)</f>
        <v>6</v>
      </c>
      <c r="I11" s="51" t="str">
        <f aca="false">IF(G11&lt;H11,"NACHBESTELLEN","OK")</f>
        <v>OK</v>
      </c>
      <c r="J11" s="44" t="n">
        <f aca="false">IFERROR(G11*INDEX(Artikel!D:D,MATCH(A11,Artikel!A:A,0)),0)</f>
        <v>420</v>
      </c>
    </row>
    <row r="12" customFormat="false" ht="15" hidden="false" customHeight="false" outlineLevel="0" collapsed="false">
      <c r="A12" s="48" t="s">
        <v>30</v>
      </c>
      <c r="B12" s="28" t="str">
        <f aca="false">IFERROR(INDEX(Artikel!B:B,MATCH(A12,Artikel!A:A,0)),"Unbekannt")</f>
        <v>Whiteboard 120x90</v>
      </c>
      <c r="C12" s="30" t="str">
        <f aca="false">IFERROR(INDEX(Artikel!G:G,MATCH(A12,Artikel!A:A,0)),"")</f>
        <v>Regal B3</v>
      </c>
      <c r="D12" s="49" t="n">
        <v>7</v>
      </c>
      <c r="E12" s="29" t="n">
        <f aca="false">IFERROR(SUMIF(Zugaenge!A:A,A12,Zugaenge!C:C),0)</f>
        <v>3</v>
      </c>
      <c r="F12" s="29" t="n">
        <f aca="false">IFERROR(SUMIF(Abgaenge!A:A,A12,Abgaenge!C:C),0)</f>
        <v>4</v>
      </c>
      <c r="G12" s="50" t="n">
        <f aca="false">D12+E12-F12</f>
        <v>6</v>
      </c>
      <c r="H12" s="29" t="n">
        <f aca="false">IFERROR(INDEX(Artikel!F:F,MATCH(A12,Artikel!A:A,0)),3)</f>
        <v>3</v>
      </c>
      <c r="I12" s="51" t="str">
        <f aca="false">IF(G12&lt;H12,"NACHBESTELLEN","OK")</f>
        <v>OK</v>
      </c>
      <c r="J12" s="42" t="n">
        <f aca="false">IFERROR(G12*INDEX(Artikel!D:D,MATCH(A12,Artikel!A:A,0)),0)</f>
        <v>330</v>
      </c>
    </row>
    <row r="13" customFormat="false" ht="15" hidden="false" customHeight="false" outlineLevel="0" collapsed="false">
      <c r="A13" s="52" t="s">
        <v>31</v>
      </c>
      <c r="B13" s="43" t="str">
        <f aca="false">IFERROR(INDEX(Artikel!B:B,MATCH(A13,Artikel!A:A,0)),"Unbekannt")</f>
        <v>Haftnotizen 100er Pack</v>
      </c>
      <c r="C13" s="46" t="str">
        <f aca="false">IFERROR(INDEX(Artikel!G:G,MATCH(A13,Artikel!A:A,0)),"")</f>
        <v>Regal B4</v>
      </c>
      <c r="D13" s="53" t="n">
        <v>80</v>
      </c>
      <c r="E13" s="45" t="n">
        <f aca="false">IFERROR(SUMIF(Zugaenge!A:A,A13,Zugaenge!C:C),0)</f>
        <v>30</v>
      </c>
      <c r="F13" s="45" t="n">
        <f aca="false">IFERROR(SUMIF(Abgaenge!A:A,A13,Abgaenge!C:C),0)</f>
        <v>40</v>
      </c>
      <c r="G13" s="50" t="n">
        <f aca="false">D13+E13-F13</f>
        <v>70</v>
      </c>
      <c r="H13" s="45" t="n">
        <f aca="false">IFERROR(INDEX(Artikel!F:F,MATCH(A13,Artikel!A:A,0)),30)</f>
        <v>30</v>
      </c>
      <c r="I13" s="51" t="str">
        <f aca="false">IF(G13&lt;H13,"NACHBESTELLEN","OK")</f>
        <v>OK</v>
      </c>
      <c r="J13" s="44" t="n">
        <f aca="false">IFERROR(G13*INDEX(Artikel!D:D,MATCH(A13,Artikel!A:A,0)),0)</f>
        <v>84</v>
      </c>
    </row>
    <row r="14" customFormat="false" ht="15" hidden="false" customHeight="false" outlineLevel="0" collapsed="false">
      <c r="A14" s="36" t="s">
        <v>32</v>
      </c>
      <c r="B14" s="36"/>
      <c r="C14" s="36"/>
      <c r="D14" s="36"/>
      <c r="E14" s="36"/>
      <c r="F14" s="36"/>
      <c r="G14" s="54" t="n">
        <f aca="false">SUM(G4:G13)</f>
        <v>292</v>
      </c>
      <c r="H14" s="55"/>
      <c r="I14" s="55"/>
      <c r="J14" s="37" t="n">
        <f aca="false">SUM(J4:J13)</f>
        <v>5918</v>
      </c>
    </row>
  </sheetData>
  <mergeCells count="3">
    <mergeCell ref="A1:J1"/>
    <mergeCell ref="A2:J2"/>
    <mergeCell ref="A14:F14"/>
  </mergeCells>
  <conditionalFormatting sqref="I4:I13">
    <cfRule type="expression" priority="2" aboveAverage="0" equalAverage="0" bottom="0" percent="0" rank="0" text="" dxfId="0">
      <formula>$I4="NACHBESTELLEN"</formula>
    </cfRule>
    <cfRule type="expression" priority="3" aboveAverage="0" equalAverage="0" bottom="0" percent="0" rank="0" text="" dxfId="1">
      <formula>$I4="OK"</formula>
    </cfRule>
  </conditionalFormatting>
  <conditionalFormatting sqref="A4:J13">
    <cfRule type="expression" priority="4" aboveAverage="0" equalAverage="0" bottom="0" percent="0" rank="0" text="" dxfId="2">
      <formula>$G4&lt;$H4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8"/>
    <col collapsed="false" customWidth="true" hidden="false" outlineLevel="0" max="3" min="3" style="0" width="10"/>
    <col collapsed="false" customWidth="true" hidden="false" outlineLevel="0" max="4" min="4" style="0" width="13"/>
    <col collapsed="false" customWidth="true" hidden="false" outlineLevel="0" max="5" min="5" style="0" width="20"/>
    <col collapsed="false" customWidth="true" hidden="false" outlineLevel="0" max="6" min="6" style="0" width="16"/>
    <col collapsed="false" customWidth="true" hidden="false" outlineLevel="0" max="7" min="7" style="0" width="22"/>
  </cols>
  <sheetData>
    <row r="1" customFormat="false" ht="30" hidden="false" customHeight="true" outlineLevel="0" collapsed="false">
      <c r="A1" s="56" t="s">
        <v>84</v>
      </c>
      <c r="B1" s="56"/>
      <c r="C1" s="56"/>
      <c r="D1" s="56"/>
      <c r="E1" s="56"/>
      <c r="F1" s="56"/>
      <c r="G1" s="56"/>
    </row>
    <row r="2" customFormat="false" ht="15.75" hidden="false" customHeight="true" outlineLevel="0" collapsed="false">
      <c r="A2" s="2" t="s">
        <v>85</v>
      </c>
      <c r="B2" s="2"/>
      <c r="C2" s="2"/>
      <c r="D2" s="2"/>
      <c r="E2" s="2"/>
      <c r="F2" s="2"/>
      <c r="G2" s="2"/>
    </row>
    <row r="3" customFormat="false" ht="24" hidden="false" customHeight="true" outlineLevel="0" collapsed="false">
      <c r="A3" s="57" t="s">
        <v>36</v>
      </c>
      <c r="B3" s="57" t="s">
        <v>37</v>
      </c>
      <c r="C3" s="57" t="s">
        <v>86</v>
      </c>
      <c r="D3" s="57" t="s">
        <v>87</v>
      </c>
      <c r="E3" s="57" t="s">
        <v>43</v>
      </c>
      <c r="F3" s="57" t="s">
        <v>88</v>
      </c>
      <c r="G3" s="57" t="s">
        <v>45</v>
      </c>
    </row>
    <row r="4" customFormat="false" ht="15" hidden="false" customHeight="false" outlineLevel="0" collapsed="false">
      <c r="A4" s="31" t="s">
        <v>22</v>
      </c>
      <c r="B4" s="32" t="str">
        <f aca="false">IFERROR(INDEX(Artikel!B:B,MATCH(A4,Artikel!A:A,0)),"")</f>
        <v>Bürostuhl Comfort Pro</v>
      </c>
      <c r="C4" s="49" t="n">
        <v>5</v>
      </c>
      <c r="D4" s="58" t="n">
        <v>45296</v>
      </c>
      <c r="E4" s="31" t="s">
        <v>49</v>
      </c>
      <c r="F4" s="31" t="s">
        <v>89</v>
      </c>
      <c r="G4" s="31"/>
    </row>
    <row r="5" customFormat="false" ht="15" hidden="false" customHeight="false" outlineLevel="0" collapsed="false">
      <c r="A5" s="59" t="s">
        <v>23</v>
      </c>
      <c r="B5" s="60" t="str">
        <f aca="false">IFERROR(INDEX(Artikel!B:B,MATCH(A5,Artikel!A:A,0)),"")</f>
        <v>Schreibtisch 140cm</v>
      </c>
      <c r="C5" s="53" t="n">
        <v>3</v>
      </c>
      <c r="D5" s="61" t="n">
        <v>45299</v>
      </c>
      <c r="E5" s="59" t="s">
        <v>49</v>
      </c>
      <c r="F5" s="59" t="s">
        <v>89</v>
      </c>
      <c r="G5" s="59"/>
    </row>
    <row r="6" customFormat="false" ht="15" hidden="false" customHeight="false" outlineLevel="0" collapsed="false">
      <c r="A6" s="31" t="s">
        <v>24</v>
      </c>
      <c r="B6" s="32" t="str">
        <f aca="false">IFERROR(INDEX(Artikel!B:B,MATCH(A6,Artikel!A:A,0)),"")</f>
        <v>Druckerpapier A4 500Bl</v>
      </c>
      <c r="C6" s="49" t="n">
        <v>20</v>
      </c>
      <c r="D6" s="58" t="n">
        <v>45301</v>
      </c>
      <c r="E6" s="31" t="s">
        <v>56</v>
      </c>
      <c r="F6" s="31" t="s">
        <v>90</v>
      </c>
      <c r="G6" s="31"/>
    </row>
    <row r="7" customFormat="false" ht="15" hidden="false" customHeight="false" outlineLevel="0" collapsed="false">
      <c r="A7" s="59" t="s">
        <v>25</v>
      </c>
      <c r="B7" s="60" t="str">
        <f aca="false">IFERROR(INDEX(Artikel!B:B,MATCH(A7,Artikel!A:A,0)),"")</f>
        <v>Kugelschreiber blau</v>
      </c>
      <c r="C7" s="53" t="n">
        <v>50</v>
      </c>
      <c r="D7" s="61" t="n">
        <v>45301</v>
      </c>
      <c r="E7" s="59" t="s">
        <v>60</v>
      </c>
      <c r="F7" s="59" t="s">
        <v>91</v>
      </c>
      <c r="G7" s="59"/>
    </row>
    <row r="8" customFormat="false" ht="15" hidden="false" customHeight="false" outlineLevel="0" collapsed="false">
      <c r="A8" s="31" t="s">
        <v>26</v>
      </c>
      <c r="B8" s="32" t="str">
        <f aca="false">IFERROR(INDEX(Artikel!B:B,MATCH(A8,Artikel!A:A,0)),"")</f>
        <v>Laptop Stand</v>
      </c>
      <c r="C8" s="49" t="n">
        <v>8</v>
      </c>
      <c r="D8" s="58" t="n">
        <v>45303</v>
      </c>
      <c r="E8" s="31" t="s">
        <v>64</v>
      </c>
      <c r="F8" s="31" t="s">
        <v>92</v>
      </c>
      <c r="G8" s="31"/>
    </row>
    <row r="9" customFormat="false" ht="15" hidden="false" customHeight="false" outlineLevel="0" collapsed="false">
      <c r="A9" s="59" t="s">
        <v>27</v>
      </c>
      <c r="B9" s="60" t="str">
        <f aca="false">IFERROR(INDEX(Artikel!B:B,MATCH(A9,Artikel!A:A,0)),"")</f>
        <v>USB-C Hub 7-Port</v>
      </c>
      <c r="C9" s="53" t="n">
        <v>10</v>
      </c>
      <c r="D9" s="61" t="n">
        <v>45303</v>
      </c>
      <c r="E9" s="59" t="s">
        <v>64</v>
      </c>
      <c r="F9" s="59" t="s">
        <v>92</v>
      </c>
      <c r="G9" s="59"/>
    </row>
    <row r="10" customFormat="false" ht="15" hidden="false" customHeight="false" outlineLevel="0" collapsed="false">
      <c r="A10" s="31" t="s">
        <v>28</v>
      </c>
      <c r="B10" s="32" t="str">
        <f aca="false">IFERROR(INDEX(Artikel!B:B,MATCH(A10,Artikel!A:A,0)),"")</f>
        <v>Aktenschrank 4-türig</v>
      </c>
      <c r="C10" s="49" t="n">
        <v>2</v>
      </c>
      <c r="D10" s="58" t="n">
        <v>45306</v>
      </c>
      <c r="E10" s="31" t="s">
        <v>49</v>
      </c>
      <c r="F10" s="31" t="s">
        <v>93</v>
      </c>
      <c r="G10" s="31"/>
    </row>
    <row r="11" customFormat="false" ht="15" hidden="false" customHeight="false" outlineLevel="0" collapsed="false">
      <c r="A11" s="59" t="s">
        <v>29</v>
      </c>
      <c r="B11" s="60" t="str">
        <f aca="false">IFERROR(INDEX(Artikel!B:B,MATCH(A11,Artikel!A:A,0)),"")</f>
        <v>Toner HP LaserJet</v>
      </c>
      <c r="C11" s="53" t="n">
        <v>6</v>
      </c>
      <c r="D11" s="61" t="n">
        <v>45309</v>
      </c>
      <c r="E11" s="59" t="s">
        <v>56</v>
      </c>
      <c r="F11" s="59" t="s">
        <v>94</v>
      </c>
      <c r="G11" s="59"/>
    </row>
    <row r="12" customFormat="false" ht="15" hidden="false" customHeight="false" outlineLevel="0" collapsed="false">
      <c r="A12" s="31" t="s">
        <v>30</v>
      </c>
      <c r="B12" s="32" t="str">
        <f aca="false">IFERROR(INDEX(Artikel!B:B,MATCH(A12,Artikel!A:A,0)),"")</f>
        <v>Whiteboard 120x90</v>
      </c>
      <c r="C12" s="49" t="n">
        <v>3</v>
      </c>
      <c r="D12" s="58" t="n">
        <v>45311</v>
      </c>
      <c r="E12" s="31" t="s">
        <v>73</v>
      </c>
      <c r="F12" s="31" t="s">
        <v>95</v>
      </c>
      <c r="G12" s="31"/>
    </row>
    <row r="13" customFormat="false" ht="15" hidden="false" customHeight="false" outlineLevel="0" collapsed="false">
      <c r="A13" s="59" t="s">
        <v>31</v>
      </c>
      <c r="B13" s="60" t="str">
        <f aca="false">IFERROR(INDEX(Artikel!B:B,MATCH(A13,Artikel!A:A,0)),"")</f>
        <v>Haftnotizen 100er Pack</v>
      </c>
      <c r="C13" s="53" t="n">
        <v>30</v>
      </c>
      <c r="D13" s="61" t="n">
        <v>45313</v>
      </c>
      <c r="E13" s="59" t="s">
        <v>60</v>
      </c>
      <c r="F13" s="59" t="s">
        <v>96</v>
      </c>
      <c r="G13" s="59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8"/>
    <col collapsed="false" customWidth="true" hidden="false" outlineLevel="0" max="3" min="3" style="0" width="10"/>
    <col collapsed="false" customWidth="true" hidden="false" outlineLevel="0" max="4" min="4" style="0" width="13"/>
    <col collapsed="false" customWidth="true" hidden="false" outlineLevel="0" max="5" min="5" style="0" width="24"/>
    <col collapsed="false" customWidth="true" hidden="false" outlineLevel="0" max="7" min="6" style="0" width="16"/>
    <col collapsed="false" customWidth="true" hidden="false" outlineLevel="0" max="8" min="8" style="0" width="22"/>
  </cols>
  <sheetData>
    <row r="1" customFormat="false" ht="30" hidden="false" customHeight="true" outlineLevel="0" collapsed="false">
      <c r="A1" s="62" t="s">
        <v>97</v>
      </c>
      <c r="B1" s="62"/>
      <c r="C1" s="62"/>
      <c r="D1" s="62"/>
      <c r="E1" s="62"/>
      <c r="F1" s="62"/>
      <c r="G1" s="62"/>
      <c r="H1" s="62"/>
    </row>
    <row r="2" customFormat="false" ht="15.75" hidden="false" customHeight="true" outlineLevel="0" collapsed="false">
      <c r="A2" s="2" t="s">
        <v>98</v>
      </c>
      <c r="B2" s="2"/>
      <c r="C2" s="2"/>
      <c r="D2" s="2"/>
      <c r="E2" s="2"/>
      <c r="F2" s="2"/>
      <c r="G2" s="2"/>
      <c r="H2" s="2"/>
    </row>
    <row r="3" customFormat="false" ht="24" hidden="false" customHeight="true" outlineLevel="0" collapsed="false">
      <c r="A3" s="63" t="s">
        <v>36</v>
      </c>
      <c r="B3" s="63" t="s">
        <v>37</v>
      </c>
      <c r="C3" s="63" t="s">
        <v>86</v>
      </c>
      <c r="D3" s="63" t="s">
        <v>87</v>
      </c>
      <c r="E3" s="63" t="s">
        <v>99</v>
      </c>
      <c r="F3" s="63" t="s">
        <v>100</v>
      </c>
      <c r="G3" s="63" t="s">
        <v>101</v>
      </c>
      <c r="H3" s="63" t="s">
        <v>45</v>
      </c>
    </row>
    <row r="4" customFormat="false" ht="15" hidden="false" customHeight="false" outlineLevel="0" collapsed="false">
      <c r="A4" s="31" t="s">
        <v>22</v>
      </c>
      <c r="B4" s="32" t="str">
        <f aca="false">IFERROR(INDEX(Artikel!B:B,MATCH(A4,Artikel!A:A,0)),"")</f>
        <v>Bürostuhl Comfort Pro</v>
      </c>
      <c r="C4" s="49" t="n">
        <v>2</v>
      </c>
      <c r="D4" s="58" t="n">
        <v>45297</v>
      </c>
      <c r="E4" s="31" t="s">
        <v>102</v>
      </c>
      <c r="F4" s="31" t="s">
        <v>103</v>
      </c>
      <c r="G4" s="64" t="n">
        <v>249</v>
      </c>
      <c r="H4" s="31"/>
    </row>
    <row r="5" customFormat="false" ht="15" hidden="false" customHeight="false" outlineLevel="0" collapsed="false">
      <c r="A5" s="59" t="s">
        <v>24</v>
      </c>
      <c r="B5" s="60" t="str">
        <f aca="false">IFERROR(INDEX(Artikel!B:B,MATCH(A5,Artikel!A:A,0)),"")</f>
        <v>Druckerpapier A4 500Bl</v>
      </c>
      <c r="C5" s="53" t="n">
        <v>10</v>
      </c>
      <c r="D5" s="61" t="n">
        <v>45300</v>
      </c>
      <c r="E5" s="59" t="s">
        <v>104</v>
      </c>
      <c r="F5" s="59" t="s">
        <v>105</v>
      </c>
      <c r="G5" s="65" t="n">
        <v>7.99</v>
      </c>
      <c r="H5" s="59"/>
    </row>
    <row r="6" customFormat="false" ht="15" hidden="false" customHeight="false" outlineLevel="0" collapsed="false">
      <c r="A6" s="31" t="s">
        <v>25</v>
      </c>
      <c r="B6" s="32" t="str">
        <f aca="false">IFERROR(INDEX(Artikel!B:B,MATCH(A6,Artikel!A:A,0)),"")</f>
        <v>Kugelschreiber blau</v>
      </c>
      <c r="C6" s="49" t="n">
        <v>30</v>
      </c>
      <c r="D6" s="58" t="n">
        <v>45302</v>
      </c>
      <c r="E6" s="31" t="s">
        <v>106</v>
      </c>
      <c r="F6" s="31" t="s">
        <v>107</v>
      </c>
      <c r="G6" s="64" t="n">
        <v>0.79</v>
      </c>
      <c r="H6" s="31"/>
    </row>
    <row r="7" customFormat="false" ht="15" hidden="false" customHeight="false" outlineLevel="0" collapsed="false">
      <c r="A7" s="59" t="s">
        <v>22</v>
      </c>
      <c r="B7" s="60" t="str">
        <f aca="false">IFERROR(INDEX(Artikel!B:B,MATCH(A7,Artikel!A:A,0)),"")</f>
        <v>Bürostuhl Comfort Pro</v>
      </c>
      <c r="C7" s="53" t="n">
        <v>3</v>
      </c>
      <c r="D7" s="61" t="n">
        <v>45305</v>
      </c>
      <c r="E7" s="59" t="s">
        <v>108</v>
      </c>
      <c r="F7" s="59" t="s">
        <v>109</v>
      </c>
      <c r="G7" s="65" t="n">
        <v>249</v>
      </c>
      <c r="H7" s="59"/>
    </row>
    <row r="8" customFormat="false" ht="15" hidden="false" customHeight="false" outlineLevel="0" collapsed="false">
      <c r="A8" s="31" t="s">
        <v>26</v>
      </c>
      <c r="B8" s="32" t="str">
        <f aca="false">IFERROR(INDEX(Artikel!B:B,MATCH(A8,Artikel!A:A,0)),"")</f>
        <v>Laptop Stand</v>
      </c>
      <c r="C8" s="49" t="n">
        <v>5</v>
      </c>
      <c r="D8" s="58" t="n">
        <v>45307</v>
      </c>
      <c r="E8" s="31" t="s">
        <v>110</v>
      </c>
      <c r="F8" s="31" t="s">
        <v>111</v>
      </c>
      <c r="G8" s="64" t="n">
        <v>49.99</v>
      </c>
      <c r="H8" s="31"/>
    </row>
    <row r="9" customFormat="false" ht="15" hidden="false" customHeight="false" outlineLevel="0" collapsed="false">
      <c r="A9" s="59" t="s">
        <v>27</v>
      </c>
      <c r="B9" s="60" t="str">
        <f aca="false">IFERROR(INDEX(Artikel!B:B,MATCH(A9,Artikel!A:A,0)),"")</f>
        <v>USB-C Hub 7-Port</v>
      </c>
      <c r="C9" s="53" t="n">
        <v>8</v>
      </c>
      <c r="D9" s="61" t="n">
        <v>45308</v>
      </c>
      <c r="E9" s="59" t="s">
        <v>110</v>
      </c>
      <c r="F9" s="59" t="s">
        <v>111</v>
      </c>
      <c r="G9" s="65" t="n">
        <v>39.99</v>
      </c>
      <c r="H9" s="59"/>
    </row>
    <row r="10" customFormat="false" ht="15" hidden="false" customHeight="false" outlineLevel="0" collapsed="false">
      <c r="A10" s="31" t="s">
        <v>23</v>
      </c>
      <c r="B10" s="32" t="str">
        <f aca="false">IFERROR(INDEX(Artikel!B:B,MATCH(A10,Artikel!A:A,0)),"")</f>
        <v>Schreibtisch 140cm</v>
      </c>
      <c r="C10" s="49" t="n">
        <v>2</v>
      </c>
      <c r="D10" s="58" t="n">
        <v>45309</v>
      </c>
      <c r="E10" s="31" t="s">
        <v>112</v>
      </c>
      <c r="F10" s="31" t="s">
        <v>113</v>
      </c>
      <c r="G10" s="64" t="n">
        <v>299</v>
      </c>
      <c r="H10" s="31"/>
    </row>
    <row r="11" customFormat="false" ht="15" hidden="false" customHeight="false" outlineLevel="0" collapsed="false">
      <c r="A11" s="59" t="s">
        <v>29</v>
      </c>
      <c r="B11" s="60" t="str">
        <f aca="false">IFERROR(INDEX(Artikel!B:B,MATCH(A11,Artikel!A:A,0)),"")</f>
        <v>Toner HP LaserJet</v>
      </c>
      <c r="C11" s="53" t="n">
        <v>4</v>
      </c>
      <c r="D11" s="61" t="n">
        <v>45310</v>
      </c>
      <c r="E11" s="59" t="s">
        <v>114</v>
      </c>
      <c r="F11" s="59" t="s">
        <v>115</v>
      </c>
      <c r="G11" s="65" t="n">
        <v>69.99</v>
      </c>
      <c r="H11" s="59"/>
    </row>
    <row r="12" customFormat="false" ht="15" hidden="false" customHeight="false" outlineLevel="0" collapsed="false">
      <c r="A12" s="31" t="s">
        <v>24</v>
      </c>
      <c r="B12" s="32" t="str">
        <f aca="false">IFERROR(INDEX(Artikel!B:B,MATCH(A12,Artikel!A:A,0)),"")</f>
        <v>Druckerpapier A4 500Bl</v>
      </c>
      <c r="C12" s="49" t="n">
        <v>15</v>
      </c>
      <c r="D12" s="58" t="n">
        <v>45312</v>
      </c>
      <c r="E12" s="31" t="s">
        <v>116</v>
      </c>
      <c r="F12" s="31" t="s">
        <v>117</v>
      </c>
      <c r="G12" s="64" t="n">
        <v>7.99</v>
      </c>
      <c r="H12" s="31"/>
    </row>
    <row r="13" customFormat="false" ht="15" hidden="false" customHeight="false" outlineLevel="0" collapsed="false">
      <c r="A13" s="59" t="s">
        <v>31</v>
      </c>
      <c r="B13" s="60" t="str">
        <f aca="false">IFERROR(INDEX(Artikel!B:B,MATCH(A13,Artikel!A:A,0)),"")</f>
        <v>Haftnotizen 100er Pack</v>
      </c>
      <c r="C13" s="53" t="n">
        <v>25</v>
      </c>
      <c r="D13" s="61" t="n">
        <v>45314</v>
      </c>
      <c r="E13" s="59" t="s">
        <v>118</v>
      </c>
      <c r="F13" s="59" t="s">
        <v>119</v>
      </c>
      <c r="G13" s="65" t="n">
        <v>2.49</v>
      </c>
      <c r="H13" s="59"/>
    </row>
    <row r="14" customFormat="false" ht="15" hidden="false" customHeight="false" outlineLevel="0" collapsed="false">
      <c r="A14" s="31" t="s">
        <v>28</v>
      </c>
      <c r="B14" s="32" t="str">
        <f aca="false">IFERROR(INDEX(Artikel!B:B,MATCH(A14,Artikel!A:A,0)),"")</f>
        <v>Aktenschrank 4-türig</v>
      </c>
      <c r="C14" s="49" t="n">
        <v>3</v>
      </c>
      <c r="D14" s="58" t="n">
        <v>45315</v>
      </c>
      <c r="E14" s="31" t="s">
        <v>120</v>
      </c>
      <c r="F14" s="31" t="s">
        <v>121</v>
      </c>
      <c r="G14" s="64" t="n">
        <v>449</v>
      </c>
      <c r="H14" s="31"/>
    </row>
    <row r="15" customFormat="false" ht="15" hidden="false" customHeight="false" outlineLevel="0" collapsed="false">
      <c r="A15" s="59" t="s">
        <v>25</v>
      </c>
      <c r="B15" s="60" t="str">
        <f aca="false">IFERROR(INDEX(Artikel!B:B,MATCH(A15,Artikel!A:A,0)),"")</f>
        <v>Kugelschreiber blau</v>
      </c>
      <c r="C15" s="53" t="n">
        <v>15</v>
      </c>
      <c r="D15" s="61" t="n">
        <v>45316</v>
      </c>
      <c r="E15" s="59" t="s">
        <v>122</v>
      </c>
      <c r="F15" s="59" t="s">
        <v>123</v>
      </c>
      <c r="G15" s="65" t="n">
        <v>0.79</v>
      </c>
      <c r="H15" s="59"/>
    </row>
    <row r="16" customFormat="false" ht="15" hidden="false" customHeight="false" outlineLevel="0" collapsed="false">
      <c r="A16" s="31" t="s">
        <v>30</v>
      </c>
      <c r="B16" s="32" t="str">
        <f aca="false">IFERROR(INDEX(Artikel!B:B,MATCH(A16,Artikel!A:A,0)),"")</f>
        <v>Whiteboard 120x90</v>
      </c>
      <c r="C16" s="49" t="n">
        <v>4</v>
      </c>
      <c r="D16" s="58" t="n">
        <v>45317</v>
      </c>
      <c r="E16" s="31" t="s">
        <v>124</v>
      </c>
      <c r="F16" s="31" t="s">
        <v>125</v>
      </c>
      <c r="G16" s="64" t="n">
        <v>89</v>
      </c>
      <c r="H16" s="31"/>
    </row>
    <row r="17" customFormat="false" ht="15" hidden="false" customHeight="false" outlineLevel="0" collapsed="false">
      <c r="A17" s="59" t="s">
        <v>29</v>
      </c>
      <c r="B17" s="60" t="str">
        <f aca="false">IFERROR(INDEX(Artikel!B:B,MATCH(A17,Artikel!A:A,0)),"")</f>
        <v>Toner HP LaserJet</v>
      </c>
      <c r="C17" s="53" t="n">
        <v>6</v>
      </c>
      <c r="D17" s="61" t="n">
        <v>45318</v>
      </c>
      <c r="E17" s="59" t="s">
        <v>126</v>
      </c>
      <c r="F17" s="59" t="s">
        <v>127</v>
      </c>
      <c r="G17" s="65" t="n">
        <v>69.99</v>
      </c>
      <c r="H17" s="59"/>
    </row>
    <row r="18" customFormat="false" ht="15" hidden="false" customHeight="false" outlineLevel="0" collapsed="false">
      <c r="A18" s="31" t="s">
        <v>26</v>
      </c>
      <c r="B18" s="32" t="str">
        <f aca="false">IFERROR(INDEX(Artikel!B:B,MATCH(A18,Artikel!A:A,0)),"")</f>
        <v>Laptop Stand</v>
      </c>
      <c r="C18" s="49" t="n">
        <v>3</v>
      </c>
      <c r="D18" s="58" t="n">
        <v>45319</v>
      </c>
      <c r="E18" s="31" t="s">
        <v>128</v>
      </c>
      <c r="F18" s="31" t="s">
        <v>129</v>
      </c>
      <c r="G18" s="64" t="n">
        <v>49.99</v>
      </c>
      <c r="H18" s="31"/>
    </row>
    <row r="19" customFormat="false" ht="15" hidden="false" customHeight="false" outlineLevel="0" collapsed="false">
      <c r="A19" s="59" t="s">
        <v>27</v>
      </c>
      <c r="B19" s="60" t="str">
        <f aca="false">IFERROR(INDEX(Artikel!B:B,MATCH(A19,Artikel!A:A,0)),"")</f>
        <v>USB-C Hub 7-Port</v>
      </c>
      <c r="C19" s="53" t="n">
        <v>5</v>
      </c>
      <c r="D19" s="61" t="n">
        <v>45320</v>
      </c>
      <c r="E19" s="59" t="s">
        <v>130</v>
      </c>
      <c r="F19" s="59" t="s">
        <v>131</v>
      </c>
      <c r="G19" s="65" t="n">
        <v>39.99</v>
      </c>
      <c r="H19" s="59"/>
    </row>
    <row r="20" customFormat="false" ht="15" hidden="false" customHeight="false" outlineLevel="0" collapsed="false">
      <c r="A20" s="31" t="s">
        <v>24</v>
      </c>
      <c r="B20" s="32" t="str">
        <f aca="false">IFERROR(INDEX(Artikel!B:B,MATCH(A20,Artikel!A:A,0)),"")</f>
        <v>Druckerpapier A4 500Bl</v>
      </c>
      <c r="C20" s="49" t="n">
        <v>13</v>
      </c>
      <c r="D20" s="58" t="n">
        <v>45321</v>
      </c>
      <c r="E20" s="31" t="s">
        <v>114</v>
      </c>
      <c r="F20" s="31" t="s">
        <v>132</v>
      </c>
      <c r="G20" s="64" t="n">
        <v>7.99</v>
      </c>
      <c r="H20" s="31"/>
    </row>
    <row r="21" customFormat="false" ht="15" hidden="false" customHeight="false" outlineLevel="0" collapsed="false">
      <c r="A21" s="59" t="s">
        <v>31</v>
      </c>
      <c r="B21" s="60" t="str">
        <f aca="false">IFERROR(INDEX(Artikel!B:B,MATCH(A21,Artikel!A:A,0)),"")</f>
        <v>Haftnotizen 100er Pack</v>
      </c>
      <c r="C21" s="53" t="n">
        <v>15</v>
      </c>
      <c r="D21" s="61" t="n">
        <v>45322</v>
      </c>
      <c r="E21" s="59" t="s">
        <v>104</v>
      </c>
      <c r="F21" s="59" t="s">
        <v>133</v>
      </c>
      <c r="G21" s="65" t="n">
        <v>2.49</v>
      </c>
      <c r="H21" s="59"/>
    </row>
    <row r="22" customFormat="false" ht="15" hidden="false" customHeight="false" outlineLevel="0" collapsed="false">
      <c r="A22" s="31" t="s">
        <v>28</v>
      </c>
      <c r="B22" s="32" t="str">
        <f aca="false">IFERROR(INDEX(Artikel!B:B,MATCH(A22,Artikel!A:A,0)),"")</f>
        <v>Aktenschrank 4-türig</v>
      </c>
      <c r="C22" s="49" t="n">
        <v>2</v>
      </c>
      <c r="D22" s="58" t="n">
        <v>45324</v>
      </c>
      <c r="E22" s="31" t="s">
        <v>134</v>
      </c>
      <c r="F22" s="31" t="s">
        <v>135</v>
      </c>
      <c r="G22" s="64" t="n">
        <v>449</v>
      </c>
      <c r="H22" s="31"/>
    </row>
    <row r="23" customFormat="false" ht="15" hidden="false" customHeight="false" outlineLevel="0" collapsed="false">
      <c r="A23" s="59" t="s">
        <v>23</v>
      </c>
      <c r="B23" s="60" t="str">
        <f aca="false">IFERROR(INDEX(Artikel!B:B,MATCH(A23,Artikel!A:A,0)),"")</f>
        <v>Schreibtisch 140cm</v>
      </c>
      <c r="C23" s="53" t="n">
        <v>3</v>
      </c>
      <c r="D23" s="61" t="n">
        <v>45327</v>
      </c>
      <c r="E23" s="59" t="s">
        <v>136</v>
      </c>
      <c r="F23" s="59" t="s">
        <v>137</v>
      </c>
      <c r="G23" s="65" t="n">
        <v>299</v>
      </c>
      <c r="H23" s="59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F6000"/>
    <pageSetUpPr fitToPage="false"/>
  </sheetPr>
  <dimension ref="A1:H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28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8" min="8" style="0" width="22"/>
  </cols>
  <sheetData>
    <row r="1" customFormat="false" ht="30" hidden="false" customHeight="true" outlineLevel="0" collapsed="false">
      <c r="A1" s="66" t="s">
        <v>138</v>
      </c>
      <c r="B1" s="66"/>
      <c r="C1" s="66"/>
      <c r="D1" s="66"/>
      <c r="E1" s="66"/>
      <c r="F1" s="66"/>
      <c r="G1" s="66"/>
      <c r="H1" s="66"/>
    </row>
    <row r="2" customFormat="false" ht="15.75" hidden="false" customHeight="true" outlineLevel="0" collapsed="false">
      <c r="A2" s="2" t="s">
        <v>139</v>
      </c>
      <c r="B2" s="2"/>
      <c r="C2" s="2"/>
      <c r="D2" s="2"/>
      <c r="E2" s="2"/>
      <c r="F2" s="2"/>
      <c r="G2" s="2"/>
      <c r="H2" s="2"/>
    </row>
    <row r="3" customFormat="false" ht="31.5" hidden="false" customHeight="true" outlineLevel="0" collapsed="false">
      <c r="A3" s="67" t="s">
        <v>140</v>
      </c>
      <c r="B3" s="67" t="s">
        <v>141</v>
      </c>
      <c r="C3" s="67" t="s">
        <v>142</v>
      </c>
      <c r="D3" s="67" t="s">
        <v>143</v>
      </c>
      <c r="E3" s="67" t="s">
        <v>144</v>
      </c>
      <c r="F3" s="67" t="s">
        <v>145</v>
      </c>
      <c r="G3" s="67" t="s">
        <v>146</v>
      </c>
      <c r="H3" s="67" t="s">
        <v>147</v>
      </c>
    </row>
    <row r="4" customFormat="false" ht="15" hidden="false" customHeight="false" outlineLevel="0" collapsed="false">
      <c r="A4" s="68" t="s">
        <v>148</v>
      </c>
      <c r="B4" s="69" t="s">
        <v>49</v>
      </c>
      <c r="C4" s="68" t="s">
        <v>149</v>
      </c>
      <c r="D4" s="68" t="s">
        <v>150</v>
      </c>
      <c r="E4" s="68" t="s">
        <v>151</v>
      </c>
      <c r="F4" s="70" t="n">
        <v>5</v>
      </c>
      <c r="G4" s="70" t="n">
        <v>30</v>
      </c>
      <c r="H4" s="68" t="s">
        <v>152</v>
      </c>
    </row>
    <row r="5" customFormat="false" ht="15" hidden="false" customHeight="false" outlineLevel="0" collapsed="false">
      <c r="A5" s="59" t="s">
        <v>153</v>
      </c>
      <c r="B5" s="60" t="s">
        <v>56</v>
      </c>
      <c r="C5" s="59" t="s">
        <v>154</v>
      </c>
      <c r="D5" s="59" t="s">
        <v>155</v>
      </c>
      <c r="E5" s="59" t="s">
        <v>156</v>
      </c>
      <c r="F5" s="53" t="n">
        <v>3</v>
      </c>
      <c r="G5" s="53" t="n">
        <v>14</v>
      </c>
      <c r="H5" s="59" t="s">
        <v>157</v>
      </c>
    </row>
    <row r="6" customFormat="false" ht="15" hidden="false" customHeight="false" outlineLevel="0" collapsed="false">
      <c r="A6" s="68" t="s">
        <v>158</v>
      </c>
      <c r="B6" s="69" t="s">
        <v>60</v>
      </c>
      <c r="C6" s="68" t="s">
        <v>159</v>
      </c>
      <c r="D6" s="68" t="s">
        <v>160</v>
      </c>
      <c r="E6" s="68" t="s">
        <v>161</v>
      </c>
      <c r="F6" s="70" t="n">
        <v>2</v>
      </c>
      <c r="G6" s="70" t="n">
        <v>30</v>
      </c>
      <c r="H6" s="68" t="s">
        <v>152</v>
      </c>
    </row>
    <row r="7" customFormat="false" ht="15" hidden="false" customHeight="false" outlineLevel="0" collapsed="false">
      <c r="A7" s="59" t="s">
        <v>162</v>
      </c>
      <c r="B7" s="60" t="s">
        <v>64</v>
      </c>
      <c r="C7" s="59" t="s">
        <v>163</v>
      </c>
      <c r="D7" s="59" t="s">
        <v>164</v>
      </c>
      <c r="E7" s="59" t="s">
        <v>165</v>
      </c>
      <c r="F7" s="53" t="n">
        <v>4</v>
      </c>
      <c r="G7" s="53" t="n">
        <v>14</v>
      </c>
      <c r="H7" s="59" t="s">
        <v>166</v>
      </c>
    </row>
    <row r="8" customFormat="false" ht="15" hidden="false" customHeight="false" outlineLevel="0" collapsed="false">
      <c r="A8" s="68" t="s">
        <v>167</v>
      </c>
      <c r="B8" s="69" t="s">
        <v>73</v>
      </c>
      <c r="C8" s="68" t="s">
        <v>168</v>
      </c>
      <c r="D8" s="68" t="s">
        <v>169</v>
      </c>
      <c r="E8" s="68" t="s">
        <v>170</v>
      </c>
      <c r="F8" s="70" t="n">
        <v>3</v>
      </c>
      <c r="G8" s="70" t="n">
        <v>30</v>
      </c>
      <c r="H8" s="68" t="s">
        <v>152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4"/>
    <col collapsed="false" customWidth="true" hidden="false" outlineLevel="0" max="3" min="3" style="0" width="13"/>
    <col collapsed="false" customWidth="true" hidden="false" outlineLevel="0" max="4" min="4" style="0" width="28"/>
    <col collapsed="false" customWidth="true" hidden="false" outlineLevel="0" max="5" min="5" style="0" width="20"/>
    <col collapsed="false" customWidth="true" hidden="false" outlineLevel="0" max="6" min="6" style="0" width="10"/>
    <col collapsed="false" customWidth="true" hidden="false" outlineLevel="0" max="7" min="7" style="0" width="13"/>
    <col collapsed="false" customWidth="true" hidden="false" outlineLevel="0" max="8" min="8" style="0" width="15"/>
    <col collapsed="false" customWidth="true" hidden="false" outlineLevel="0" max="9" min="9" style="0" width="18"/>
    <col collapsed="false" customWidth="true" hidden="false" outlineLevel="0" max="10" min="10" style="0" width="14"/>
  </cols>
  <sheetData>
    <row r="1" customFormat="false" ht="30" hidden="false" customHeight="true" outlineLevel="0" collapsed="false">
      <c r="A1" s="71" t="s">
        <v>171</v>
      </c>
      <c r="B1" s="71"/>
      <c r="C1" s="71"/>
      <c r="D1" s="71"/>
      <c r="E1" s="71"/>
      <c r="F1" s="71"/>
      <c r="G1" s="71"/>
      <c r="H1" s="71"/>
      <c r="I1" s="71"/>
      <c r="J1" s="71"/>
    </row>
    <row r="2" customFormat="false" ht="15.75" hidden="false" customHeight="true" outlineLevel="0" collapsed="false">
      <c r="A2" s="2" t="s">
        <v>172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1.5" hidden="false" customHeight="true" outlineLevel="0" collapsed="false">
      <c r="A3" s="72" t="s">
        <v>88</v>
      </c>
      <c r="B3" s="72" t="s">
        <v>173</v>
      </c>
      <c r="C3" s="72" t="s">
        <v>36</v>
      </c>
      <c r="D3" s="72" t="s">
        <v>37</v>
      </c>
      <c r="E3" s="72" t="s">
        <v>43</v>
      </c>
      <c r="F3" s="72" t="s">
        <v>86</v>
      </c>
      <c r="G3" s="72" t="s">
        <v>174</v>
      </c>
      <c r="H3" s="72" t="s">
        <v>175</v>
      </c>
      <c r="I3" s="72" t="s">
        <v>176</v>
      </c>
      <c r="J3" s="72" t="s">
        <v>16</v>
      </c>
    </row>
    <row r="4" customFormat="false" ht="15" hidden="false" customHeight="false" outlineLevel="0" collapsed="false">
      <c r="A4" s="31" t="s">
        <v>89</v>
      </c>
      <c r="B4" s="58" t="n">
        <v>45294</v>
      </c>
      <c r="C4" s="31" t="s">
        <v>22</v>
      </c>
      <c r="D4" s="32" t="str">
        <f aca="false">IFERROR(INDEX(Artikel!B:B,MATCH(C4,Artikel!A:A,0)),"")</f>
        <v>Bürostuhl Comfort Pro</v>
      </c>
      <c r="E4" s="31" t="s">
        <v>49</v>
      </c>
      <c r="F4" s="49" t="n">
        <v>5</v>
      </c>
      <c r="G4" s="64" t="n">
        <v>189</v>
      </c>
      <c r="H4" s="34" t="n">
        <f aca="false">F4*G4</f>
        <v>945</v>
      </c>
      <c r="I4" s="58" t="n">
        <v>45299</v>
      </c>
      <c r="J4" s="73" t="s">
        <v>177</v>
      </c>
    </row>
    <row r="5" customFormat="false" ht="15" hidden="false" customHeight="false" outlineLevel="0" collapsed="false">
      <c r="A5" s="59" t="s">
        <v>89</v>
      </c>
      <c r="B5" s="61" t="n">
        <v>45294</v>
      </c>
      <c r="C5" s="59" t="s">
        <v>23</v>
      </c>
      <c r="D5" s="60" t="str">
        <f aca="false">IFERROR(INDEX(Artikel!B:B,MATCH(C5,Artikel!A:A,0)),"")</f>
        <v>Schreibtisch 140cm</v>
      </c>
      <c r="E5" s="59" t="s">
        <v>49</v>
      </c>
      <c r="F5" s="53" t="n">
        <v>3</v>
      </c>
      <c r="G5" s="65" t="n">
        <v>220</v>
      </c>
      <c r="H5" s="74" t="n">
        <f aca="false">F5*G5</f>
        <v>660</v>
      </c>
      <c r="I5" s="61" t="n">
        <v>45299</v>
      </c>
      <c r="J5" s="75" t="s">
        <v>177</v>
      </c>
    </row>
    <row r="6" customFormat="false" ht="15" hidden="false" customHeight="false" outlineLevel="0" collapsed="false">
      <c r="A6" s="31" t="s">
        <v>90</v>
      </c>
      <c r="B6" s="58" t="n">
        <v>45298</v>
      </c>
      <c r="C6" s="31" t="s">
        <v>24</v>
      </c>
      <c r="D6" s="32" t="str">
        <f aca="false">IFERROR(INDEX(Artikel!B:B,MATCH(C6,Artikel!A:A,0)),"")</f>
        <v>Druckerpapier A4 500Bl</v>
      </c>
      <c r="E6" s="31" t="s">
        <v>56</v>
      </c>
      <c r="F6" s="49" t="n">
        <v>20</v>
      </c>
      <c r="G6" s="64" t="n">
        <v>4.5</v>
      </c>
      <c r="H6" s="34" t="n">
        <f aca="false">F6*G6</f>
        <v>90</v>
      </c>
      <c r="I6" s="58" t="n">
        <v>45301</v>
      </c>
      <c r="J6" s="73" t="s">
        <v>177</v>
      </c>
    </row>
    <row r="7" customFormat="false" ht="15" hidden="false" customHeight="false" outlineLevel="0" collapsed="false">
      <c r="A7" s="59" t="s">
        <v>91</v>
      </c>
      <c r="B7" s="61" t="n">
        <v>45299</v>
      </c>
      <c r="C7" s="59" t="s">
        <v>25</v>
      </c>
      <c r="D7" s="60" t="str">
        <f aca="false">IFERROR(INDEX(Artikel!B:B,MATCH(C7,Artikel!A:A,0)),"")</f>
        <v>Kugelschreiber blau</v>
      </c>
      <c r="E7" s="59" t="s">
        <v>60</v>
      </c>
      <c r="F7" s="53" t="n">
        <v>50</v>
      </c>
      <c r="G7" s="65" t="n">
        <v>0.3</v>
      </c>
      <c r="H7" s="74" t="n">
        <f aca="false">F7*G7</f>
        <v>15</v>
      </c>
      <c r="I7" s="61" t="n">
        <v>45301</v>
      </c>
      <c r="J7" s="75" t="s">
        <v>177</v>
      </c>
    </row>
    <row r="8" customFormat="false" ht="15" hidden="false" customHeight="false" outlineLevel="0" collapsed="false">
      <c r="A8" s="31" t="s">
        <v>92</v>
      </c>
      <c r="B8" s="58" t="n">
        <v>45301</v>
      </c>
      <c r="C8" s="31" t="s">
        <v>26</v>
      </c>
      <c r="D8" s="32" t="str">
        <f aca="false">IFERROR(INDEX(Artikel!B:B,MATCH(C8,Artikel!A:A,0)),"")</f>
        <v>Laptop Stand</v>
      </c>
      <c r="E8" s="31" t="s">
        <v>64</v>
      </c>
      <c r="F8" s="49" t="n">
        <v>8</v>
      </c>
      <c r="G8" s="64" t="n">
        <v>25</v>
      </c>
      <c r="H8" s="34" t="n">
        <f aca="false">F8*G8</f>
        <v>200</v>
      </c>
      <c r="I8" s="58" t="n">
        <v>45305</v>
      </c>
      <c r="J8" s="73" t="s">
        <v>177</v>
      </c>
    </row>
    <row r="9" customFormat="false" ht="15" hidden="false" customHeight="false" outlineLevel="0" collapsed="false">
      <c r="A9" s="59" t="s">
        <v>92</v>
      </c>
      <c r="B9" s="61" t="n">
        <v>45301</v>
      </c>
      <c r="C9" s="59" t="s">
        <v>27</v>
      </c>
      <c r="D9" s="60" t="str">
        <f aca="false">IFERROR(INDEX(Artikel!B:B,MATCH(C9,Artikel!A:A,0)),"")</f>
        <v>USB-C Hub 7-Port</v>
      </c>
      <c r="E9" s="59" t="s">
        <v>64</v>
      </c>
      <c r="F9" s="53" t="n">
        <v>10</v>
      </c>
      <c r="G9" s="65" t="n">
        <v>18</v>
      </c>
      <c r="H9" s="74" t="n">
        <f aca="false">F9*G9</f>
        <v>180</v>
      </c>
      <c r="I9" s="61" t="n">
        <v>45305</v>
      </c>
      <c r="J9" s="75" t="s">
        <v>177</v>
      </c>
    </row>
    <row r="10" customFormat="false" ht="15" hidden="false" customHeight="false" outlineLevel="0" collapsed="false">
      <c r="A10" s="31" t="s">
        <v>93</v>
      </c>
      <c r="B10" s="58" t="n">
        <v>45303</v>
      </c>
      <c r="C10" s="31" t="s">
        <v>28</v>
      </c>
      <c r="D10" s="32" t="str">
        <f aca="false">IFERROR(INDEX(Artikel!B:B,MATCH(C10,Artikel!A:A,0)),"")</f>
        <v>Aktenschrank 4-türig</v>
      </c>
      <c r="E10" s="31" t="s">
        <v>49</v>
      </c>
      <c r="F10" s="49" t="n">
        <v>2</v>
      </c>
      <c r="G10" s="64" t="n">
        <v>310</v>
      </c>
      <c r="H10" s="34" t="n">
        <f aca="false">F10*G10</f>
        <v>620</v>
      </c>
      <c r="I10" s="58" t="n">
        <v>45308</v>
      </c>
      <c r="J10" s="73" t="s">
        <v>177</v>
      </c>
    </row>
    <row r="11" customFormat="false" ht="15" hidden="false" customHeight="false" outlineLevel="0" collapsed="false">
      <c r="A11" s="59" t="s">
        <v>94</v>
      </c>
      <c r="B11" s="61" t="n">
        <v>45306</v>
      </c>
      <c r="C11" s="59" t="s">
        <v>29</v>
      </c>
      <c r="D11" s="60" t="str">
        <f aca="false">IFERROR(INDEX(Artikel!B:B,MATCH(C11,Artikel!A:A,0)),"")</f>
        <v>Toner HP LaserJet</v>
      </c>
      <c r="E11" s="59" t="s">
        <v>56</v>
      </c>
      <c r="F11" s="53" t="n">
        <v>6</v>
      </c>
      <c r="G11" s="65" t="n">
        <v>42</v>
      </c>
      <c r="H11" s="74" t="n">
        <f aca="false">F11*G11</f>
        <v>252</v>
      </c>
      <c r="I11" s="61" t="n">
        <v>45309</v>
      </c>
      <c r="J11" s="75" t="s">
        <v>177</v>
      </c>
    </row>
    <row r="12" customFormat="false" ht="15" hidden="false" customHeight="false" outlineLevel="0" collapsed="false">
      <c r="A12" s="31" t="s">
        <v>95</v>
      </c>
      <c r="B12" s="58" t="n">
        <v>45309</v>
      </c>
      <c r="C12" s="31" t="s">
        <v>30</v>
      </c>
      <c r="D12" s="32" t="str">
        <f aca="false">IFERROR(INDEX(Artikel!B:B,MATCH(C12,Artikel!A:A,0)),"")</f>
        <v>Whiteboard 120x90</v>
      </c>
      <c r="E12" s="31" t="s">
        <v>73</v>
      </c>
      <c r="F12" s="49" t="n">
        <v>3</v>
      </c>
      <c r="G12" s="64" t="n">
        <v>55</v>
      </c>
      <c r="H12" s="34" t="n">
        <f aca="false">F12*G12</f>
        <v>165</v>
      </c>
      <c r="I12" s="58" t="n">
        <v>45312</v>
      </c>
      <c r="J12" s="73" t="s">
        <v>177</v>
      </c>
    </row>
    <row r="13" customFormat="false" ht="15" hidden="false" customHeight="false" outlineLevel="0" collapsed="false">
      <c r="A13" s="59" t="s">
        <v>96</v>
      </c>
      <c r="B13" s="61" t="n">
        <v>45311</v>
      </c>
      <c r="C13" s="59" t="s">
        <v>31</v>
      </c>
      <c r="D13" s="60" t="str">
        <f aca="false">IFERROR(INDEX(Artikel!B:B,MATCH(C13,Artikel!A:A,0)),"")</f>
        <v>Haftnotizen 100er Pack</v>
      </c>
      <c r="E13" s="59" t="s">
        <v>60</v>
      </c>
      <c r="F13" s="53" t="n">
        <v>30</v>
      </c>
      <c r="G13" s="65" t="n">
        <v>1.2</v>
      </c>
      <c r="H13" s="74" t="n">
        <f aca="false">F13*G13</f>
        <v>36</v>
      </c>
      <c r="I13" s="61" t="n">
        <v>45313</v>
      </c>
      <c r="J13" s="75" t="s">
        <v>177</v>
      </c>
    </row>
    <row r="14" customFormat="false" ht="15" hidden="false" customHeight="false" outlineLevel="0" collapsed="false">
      <c r="A14" s="31" t="s">
        <v>178</v>
      </c>
      <c r="B14" s="58" t="n">
        <v>45323</v>
      </c>
      <c r="C14" s="31" t="s">
        <v>22</v>
      </c>
      <c r="D14" s="32" t="str">
        <f aca="false">IFERROR(INDEX(Artikel!B:B,MATCH(C14,Artikel!A:A,0)),"")</f>
        <v>Bürostuhl Comfort Pro</v>
      </c>
      <c r="E14" s="31" t="s">
        <v>49</v>
      </c>
      <c r="F14" s="49" t="n">
        <v>10</v>
      </c>
      <c r="G14" s="64" t="n">
        <v>189</v>
      </c>
      <c r="H14" s="34" t="n">
        <f aca="false">F14*G14</f>
        <v>1890</v>
      </c>
      <c r="I14" s="58" t="n">
        <v>45328</v>
      </c>
      <c r="J14" s="73" t="s">
        <v>179</v>
      </c>
    </row>
    <row r="15" customFormat="false" ht="15" hidden="false" customHeight="false" outlineLevel="0" collapsed="false">
      <c r="A15" s="59" t="s">
        <v>180</v>
      </c>
      <c r="B15" s="61" t="n">
        <v>45325</v>
      </c>
      <c r="C15" s="59" t="s">
        <v>26</v>
      </c>
      <c r="D15" s="60" t="str">
        <f aca="false">IFERROR(INDEX(Artikel!B:B,MATCH(C15,Artikel!A:A,0)),"")</f>
        <v>Laptop Stand</v>
      </c>
      <c r="E15" s="59" t="s">
        <v>64</v>
      </c>
      <c r="F15" s="53" t="n">
        <v>15</v>
      </c>
      <c r="G15" s="65" t="n">
        <v>25</v>
      </c>
      <c r="H15" s="74" t="n">
        <f aca="false">F15*G15</f>
        <v>375</v>
      </c>
      <c r="I15" s="61" t="n">
        <v>45329</v>
      </c>
      <c r="J15" s="75" t="s">
        <v>181</v>
      </c>
    </row>
  </sheetData>
  <mergeCells count="2">
    <mergeCell ref="A1:J1"/>
    <mergeCell ref="A2:J2"/>
  </mergeCells>
  <conditionalFormatting sqref="J4:J15">
    <cfRule type="expression" priority="2" aboveAverage="0" equalAverage="0" bottom="0" percent="0" rank="0" text="" dxfId="3">
      <formula>$J4="Offen"</formula>
    </cfRule>
    <cfRule type="expression" priority="3" aboveAverage="0" equalAverage="0" bottom="0" percent="0" rank="0" text="" dxfId="4">
      <formula>$J4="Bestellt"</formula>
    </cfRule>
    <cfRule type="expression" priority="4" aboveAverage="0" equalAverage="0" bottom="0" percent="0" rank="0" text="" dxfId="1">
      <formula>$J4="Geliefert"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3"/>
    <col collapsed="false" customWidth="true" hidden="false" outlineLevel="0" max="3" min="3" style="0" width="28"/>
    <col collapsed="false" customWidth="true" hidden="false" outlineLevel="0" max="5" min="4" style="0" width="9"/>
    <col collapsed="false" customWidth="true" hidden="false" outlineLevel="0" max="7" min="6" style="0" width="14"/>
    <col collapsed="false" customWidth="true" hidden="false" outlineLevel="0" max="8" min="8" style="0" width="15"/>
  </cols>
  <sheetData>
    <row r="1" customFormat="false" ht="27.75" hidden="false" customHeight="true" outlineLevel="0" collapsed="false">
      <c r="A1" s="76" t="s">
        <v>182</v>
      </c>
      <c r="B1" s="76"/>
      <c r="C1" s="76"/>
      <c r="D1" s="76"/>
      <c r="E1" s="76"/>
      <c r="F1" s="76"/>
      <c r="G1" s="76"/>
    </row>
    <row r="2" customFormat="false" ht="15" hidden="false" customHeight="false" outlineLevel="0" collapsed="false">
      <c r="A2" s="77" t="s">
        <v>183</v>
      </c>
      <c r="B2" s="77"/>
      <c r="C2" s="77"/>
      <c r="D2" s="77"/>
      <c r="E2" s="77"/>
      <c r="F2" s="77"/>
      <c r="G2" s="77"/>
    </row>
    <row r="3" customFormat="false" ht="3.75" hidden="false" customHeight="true" outlineLevel="0" collapsed="false">
      <c r="A3" s="78"/>
      <c r="B3" s="78"/>
      <c r="C3" s="78"/>
      <c r="D3" s="78"/>
      <c r="E3" s="78"/>
      <c r="F3" s="78"/>
      <c r="G3" s="78"/>
    </row>
    <row r="5" customFormat="false" ht="30" hidden="false" customHeight="true" outlineLevel="0" collapsed="false">
      <c r="A5" s="79" t="s">
        <v>184</v>
      </c>
      <c r="B5" s="79"/>
      <c r="C5" s="79"/>
      <c r="D5" s="79"/>
      <c r="E5" s="79"/>
      <c r="F5" s="79"/>
      <c r="G5" s="79"/>
    </row>
    <row r="6" customFormat="false" ht="15" hidden="false" customHeight="false" outlineLevel="0" collapsed="false">
      <c r="A6" s="80" t="s">
        <v>185</v>
      </c>
      <c r="B6" s="81" t="s">
        <v>103</v>
      </c>
      <c r="D6" s="80" t="s">
        <v>186</v>
      </c>
      <c r="E6" s="82" t="n">
        <v>45323</v>
      </c>
      <c r="G6" s="80" t="s">
        <v>187</v>
      </c>
    </row>
    <row r="7" customFormat="false" ht="15" hidden="false" customHeight="false" outlineLevel="0" collapsed="false">
      <c r="A7" s="80" t="s">
        <v>188</v>
      </c>
      <c r="B7" s="81" t="s">
        <v>189</v>
      </c>
      <c r="D7" s="80" t="s">
        <v>190</v>
      </c>
      <c r="E7" s="82" t="n">
        <v>45322</v>
      </c>
      <c r="G7" s="81" t="s">
        <v>191</v>
      </c>
    </row>
    <row r="8" customFormat="false" ht="15" hidden="false" customHeight="false" outlineLevel="0" collapsed="false">
      <c r="A8" s="80" t="s">
        <v>192</v>
      </c>
      <c r="B8" s="81" t="s">
        <v>193</v>
      </c>
      <c r="D8" s="80" t="s">
        <v>194</v>
      </c>
      <c r="E8" s="82" t="n">
        <v>45353</v>
      </c>
      <c r="G8" s="81" t="s">
        <v>195</v>
      </c>
    </row>
    <row r="9" customFormat="false" ht="15" hidden="false" customHeight="false" outlineLevel="0" collapsed="false">
      <c r="G9" s="81" t="s">
        <v>196</v>
      </c>
    </row>
    <row r="10" customFormat="false" ht="15" hidden="false" customHeight="false" outlineLevel="0" collapsed="false">
      <c r="G10" s="81" t="s">
        <v>197</v>
      </c>
    </row>
    <row r="12" customFormat="false" ht="21.75" hidden="false" customHeight="true" outlineLevel="0" collapsed="false">
      <c r="A12" s="83" t="s">
        <v>198</v>
      </c>
      <c r="B12" s="83" t="s">
        <v>199</v>
      </c>
      <c r="C12" s="83" t="s">
        <v>14</v>
      </c>
      <c r="D12" s="83" t="s">
        <v>86</v>
      </c>
      <c r="E12" s="83" t="s">
        <v>200</v>
      </c>
      <c r="F12" s="83" t="s">
        <v>174</v>
      </c>
      <c r="G12" s="83" t="s">
        <v>201</v>
      </c>
      <c r="H12" s="83" t="s">
        <v>202</v>
      </c>
    </row>
    <row r="13" customFormat="false" ht="15" hidden="false" customHeight="false" outlineLevel="0" collapsed="false">
      <c r="A13" s="84" t="n">
        <v>1</v>
      </c>
      <c r="B13" s="59" t="s">
        <v>22</v>
      </c>
      <c r="C13" s="60" t="str">
        <f aca="false">IFERROR(INDEX(Artikel!B:B,MATCH(B13,Artikel!A:A,0)),"")</f>
        <v>Bürostuhl Comfort Pro</v>
      </c>
      <c r="D13" s="53" t="n">
        <v>2</v>
      </c>
      <c r="E13" s="59" t="s">
        <v>203</v>
      </c>
      <c r="F13" s="74" t="n">
        <f aca="false">IFERROR(INDEX(Artikel!D:D,MATCH(B13,Artikel!A:A,0)),0)</f>
        <v>189</v>
      </c>
      <c r="G13" s="65" t="n">
        <v>249</v>
      </c>
      <c r="H13" s="74" t="n">
        <f aca="false">D13*G13</f>
        <v>498</v>
      </c>
    </row>
    <row r="14" customFormat="false" ht="15" hidden="false" customHeight="false" outlineLevel="0" collapsed="false">
      <c r="A14" s="85" t="n">
        <v>2</v>
      </c>
      <c r="B14" s="31" t="s">
        <v>26</v>
      </c>
      <c r="C14" s="32" t="str">
        <f aca="false">IFERROR(INDEX(Artikel!B:B,MATCH(B14,Artikel!A:A,0)),"")</f>
        <v>Laptop Stand</v>
      </c>
      <c r="D14" s="49" t="n">
        <v>3</v>
      </c>
      <c r="E14" s="31" t="s">
        <v>203</v>
      </c>
      <c r="F14" s="34" t="n">
        <f aca="false">IFERROR(INDEX(Artikel!D:D,MATCH(B14,Artikel!A:A,0)),0)</f>
        <v>25</v>
      </c>
      <c r="G14" s="64" t="n">
        <v>49.99</v>
      </c>
      <c r="H14" s="34" t="n">
        <f aca="false">D14*G14</f>
        <v>149.97</v>
      </c>
    </row>
    <row r="15" customFormat="false" ht="15" hidden="false" customHeight="false" outlineLevel="0" collapsed="false">
      <c r="A15" s="84" t="n">
        <v>3</v>
      </c>
      <c r="B15" s="59" t="s">
        <v>24</v>
      </c>
      <c r="C15" s="60" t="str">
        <f aca="false">IFERROR(INDEX(Artikel!B:B,MATCH(B15,Artikel!A:A,0)),"")</f>
        <v>Druckerpapier A4 500Bl</v>
      </c>
      <c r="D15" s="53" t="n">
        <v>5</v>
      </c>
      <c r="E15" s="59" t="s">
        <v>204</v>
      </c>
      <c r="F15" s="74" t="n">
        <f aca="false">IFERROR(INDEX(Artikel!D:D,MATCH(B15,Artikel!A:A,0)),0)</f>
        <v>4.5</v>
      </c>
      <c r="G15" s="65" t="n">
        <v>7.99</v>
      </c>
      <c r="H15" s="74" t="n">
        <f aca="false">D15*G15</f>
        <v>39.95</v>
      </c>
    </row>
    <row r="16" customFormat="false" ht="15" hidden="false" customHeight="false" outlineLevel="0" collapsed="false">
      <c r="A16" s="85" t="n">
        <v>4</v>
      </c>
      <c r="B16" s="31" t="s">
        <v>27</v>
      </c>
      <c r="C16" s="32" t="str">
        <f aca="false">IFERROR(INDEX(Artikel!B:B,MATCH(B16,Artikel!A:A,0)),"")</f>
        <v>USB-C Hub 7-Port</v>
      </c>
      <c r="D16" s="49" t="n">
        <v>2</v>
      </c>
      <c r="E16" s="31" t="s">
        <v>203</v>
      </c>
      <c r="F16" s="34" t="n">
        <f aca="false">IFERROR(INDEX(Artikel!D:D,MATCH(B16,Artikel!A:A,0)),0)</f>
        <v>18</v>
      </c>
      <c r="G16" s="64" t="n">
        <v>39.99</v>
      </c>
      <c r="H16" s="34" t="n">
        <f aca="false">D16*G16</f>
        <v>79.98</v>
      </c>
    </row>
    <row r="17" customFormat="false" ht="15" hidden="false" customHeight="false" outlineLevel="0" collapsed="false">
      <c r="A17" s="84" t="n">
        <v>5</v>
      </c>
      <c r="B17" s="59" t="s">
        <v>31</v>
      </c>
      <c r="C17" s="60" t="str">
        <f aca="false">IFERROR(INDEX(Artikel!B:B,MATCH(B17,Artikel!A:A,0)),"")</f>
        <v>Haftnotizen 100er Pack</v>
      </c>
      <c r="D17" s="53" t="n">
        <v>10</v>
      </c>
      <c r="E17" s="59" t="s">
        <v>204</v>
      </c>
      <c r="F17" s="74" t="n">
        <f aca="false">IFERROR(INDEX(Artikel!D:D,MATCH(B17,Artikel!A:A,0)),0)</f>
        <v>1.2</v>
      </c>
      <c r="G17" s="65" t="n">
        <v>2.49</v>
      </c>
      <c r="H17" s="74" t="n">
        <f aca="false">D17*G17</f>
        <v>24.9</v>
      </c>
    </row>
    <row r="19" customFormat="false" ht="15" hidden="false" customHeight="false" outlineLevel="0" collapsed="false">
      <c r="A19" s="86" t="s">
        <v>205</v>
      </c>
      <c r="B19" s="86"/>
      <c r="C19" s="86"/>
      <c r="D19" s="86"/>
      <c r="E19" s="86"/>
      <c r="F19" s="86"/>
      <c r="G19" s="87" t="n">
        <f aca="false">SUM(H13:H17)</f>
        <v>792.8</v>
      </c>
    </row>
    <row r="20" customFormat="false" ht="15" hidden="false" customHeight="false" outlineLevel="0" collapsed="false">
      <c r="A20" s="88" t="s">
        <v>206</v>
      </c>
      <c r="B20" s="88"/>
      <c r="C20" s="88"/>
      <c r="D20" s="88"/>
      <c r="E20" s="88"/>
      <c r="F20" s="88"/>
      <c r="G20" s="89" t="n">
        <f aca="false">ROUND(H19*0.19,2)</f>
        <v>0</v>
      </c>
    </row>
    <row r="21" customFormat="false" ht="15" hidden="false" customHeight="false" outlineLevel="0" collapsed="false">
      <c r="A21" s="90" t="s">
        <v>207</v>
      </c>
      <c r="B21" s="90"/>
      <c r="C21" s="90"/>
      <c r="D21" s="90"/>
      <c r="E21" s="90"/>
      <c r="F21" s="90"/>
      <c r="G21" s="91" t="n">
        <f aca="false">H19+H20</f>
        <v>0</v>
      </c>
    </row>
    <row r="24" customFormat="false" ht="27.75" hidden="false" customHeight="true" outlineLevel="0" collapsed="false">
      <c r="A24" s="92" t="s">
        <v>208</v>
      </c>
      <c r="B24" s="92"/>
      <c r="C24" s="92"/>
      <c r="D24" s="92"/>
      <c r="E24" s="92"/>
      <c r="F24" s="92"/>
      <c r="G24" s="92"/>
    </row>
  </sheetData>
  <mergeCells count="8">
    <mergeCell ref="A1:G1"/>
    <mergeCell ref="A2:G2"/>
    <mergeCell ref="A3:G3"/>
    <mergeCell ref="A5:G5"/>
    <mergeCell ref="A19:F19"/>
    <mergeCell ref="A20:F20"/>
    <mergeCell ref="A21:F21"/>
    <mergeCell ref="A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2026-04-13T08:44:19Z</dcterms:created>
  <dc:creator>openpyxl</dc:creator>
  <dc:description/>
  <dc:language>en-US</dc:language>
  <cp:lastModifiedBy/>
  <dcterms:modified xsi:type="dcterms:W3CDTF">2026-04-13T08:44:19Z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