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Ausleih-Protokoll" sheetId="2" state="visible" r:id="rId3"/>
    <sheet name="Wartungsplan" sheetId="3" state="visible" r:id="rId4"/>
    <sheet name="Controlling-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<sst xmlns="http://schemas.openxmlformats.org/spreadsheetml/2006/main" count="279" uniqueCount="229">
  <si>
    <t xml:space="preserve">📋  Werkzeugverwaltung – Stammdaten</t>
  </si>
  <si>
    <t xml:space="preserve">Zentrale Inventarliste aller Betriebsmittel · Bitte alle Pflichtfelder ausfüllen</t>
  </si>
  <si>
    <t xml:space="preserve">Werkzeug-ID</t>
  </si>
  <si>
    <t xml:space="preserve">Bezeichnung</t>
  </si>
  <si>
    <t xml:space="preserve">Kategorie</t>
  </si>
  <si>
    <t xml:space="preserve">Hersteller</t>
  </si>
  <si>
    <t xml:space="preserve">Modell / Typ</t>
  </si>
  <si>
    <t xml:space="preserve">Seriennummer</t>
  </si>
  <si>
    <t xml:space="preserve">Standort</t>
  </si>
  <si>
    <t xml:space="preserve">Anschaffungsdatum</t>
  </si>
  <si>
    <t xml:space="preserve">Anschaffungskosten (€)</t>
  </si>
  <si>
    <t xml:space="preserve">Nutzungsdauer (J)</t>
  </si>
  <si>
    <t xml:space="preserve">Aktuelles Alter (J)</t>
  </si>
  <si>
    <t xml:space="preserve">Zeitwert / Buchwert (€)</t>
  </si>
  <si>
    <t xml:space="preserve">Status</t>
  </si>
  <si>
    <t xml:space="preserve">Bemerkungen</t>
  </si>
  <si>
    <t xml:space="preserve">WZ-001</t>
  </si>
  <si>
    <t xml:space="preserve">Bohrmaschine Profi</t>
  </si>
  <si>
    <t xml:space="preserve">Elektrowerkzeug</t>
  </si>
  <si>
    <t xml:space="preserve">Bosch</t>
  </si>
  <si>
    <t xml:space="preserve">GSB 18V-55</t>
  </si>
  <si>
    <t xml:space="preserve">BOS-2021-001</t>
  </si>
  <si>
    <t xml:space="preserve">Lager A</t>
  </si>
  <si>
    <t xml:space="preserve">2021-03-15</t>
  </si>
  <si>
    <t xml:space="preserve">Verfügbar</t>
  </si>
  <si>
    <t xml:space="preserve">WZ-002</t>
  </si>
  <si>
    <t xml:space="preserve">Winkelschleifer</t>
  </si>
  <si>
    <t xml:space="preserve">Metabo</t>
  </si>
  <si>
    <t xml:space="preserve">WB 18 LTX</t>
  </si>
  <si>
    <t xml:space="preserve">MET-2020-042</t>
  </si>
  <si>
    <t xml:space="preserve">2020-06-01</t>
  </si>
  <si>
    <t xml:space="preserve">Ausgeliehen</t>
  </si>
  <si>
    <t xml:space="preserve">Rückkehr fällig</t>
  </si>
  <si>
    <t xml:space="preserve">WZ-003</t>
  </si>
  <si>
    <t xml:space="preserve">Drehmomentschlüssel</t>
  </si>
  <si>
    <t xml:space="preserve">Handwerkzeug</t>
  </si>
  <si>
    <t xml:space="preserve">Gedore</t>
  </si>
  <si>
    <t xml:space="preserve">1994 U-30</t>
  </si>
  <si>
    <t xml:space="preserve">GED-2019-108</t>
  </si>
  <si>
    <t xml:space="preserve">Lager B</t>
  </si>
  <si>
    <t xml:space="preserve">2019-11-20</t>
  </si>
  <si>
    <t xml:space="preserve">WZ-004</t>
  </si>
  <si>
    <t xml:space="preserve">Lasermessgerät</t>
  </si>
  <si>
    <t xml:space="preserve">Messtechnik</t>
  </si>
  <si>
    <t xml:space="preserve">Leica</t>
  </si>
  <si>
    <t xml:space="preserve">DISTO D5</t>
  </si>
  <si>
    <t xml:space="preserve">LEI-2022-015</t>
  </si>
  <si>
    <t xml:space="preserve">Büro</t>
  </si>
  <si>
    <t xml:space="preserve">2022-01-10</t>
  </si>
  <si>
    <t xml:space="preserve">Wartung</t>
  </si>
  <si>
    <t xml:space="preserve">DGUV-Prüfung fällig</t>
  </si>
  <si>
    <t xml:space="preserve">WZ-005</t>
  </si>
  <si>
    <t xml:space="preserve">Säbelsäge</t>
  </si>
  <si>
    <t xml:space="preserve">Makita</t>
  </si>
  <si>
    <t xml:space="preserve">DJR187Z</t>
  </si>
  <si>
    <t xml:space="preserve">MAK-2018-077</t>
  </si>
  <si>
    <t xml:space="preserve">Lager C</t>
  </si>
  <si>
    <t xml:space="preserve">2018-08-05</t>
  </si>
  <si>
    <t xml:space="preserve">Defekt</t>
  </si>
  <si>
    <t xml:space="preserve">Reparatur beantragt</t>
  </si>
  <si>
    <t xml:space="preserve">WZ-006</t>
  </si>
  <si>
    <t xml:space="preserve">Wasserwaage 120 cm</t>
  </si>
  <si>
    <t xml:space="preserve">Stabila</t>
  </si>
  <si>
    <t xml:space="preserve">Type 80</t>
  </si>
  <si>
    <t xml:space="preserve">STA-2020-033</t>
  </si>
  <si>
    <t xml:space="preserve">2020-04-12</t>
  </si>
  <si>
    <t xml:space="preserve">WZ-007</t>
  </si>
  <si>
    <t xml:space="preserve">Steckschlüsselsatz</t>
  </si>
  <si>
    <t xml:space="preserve">Hazet</t>
  </si>
  <si>
    <t xml:space="preserve">900SP/40</t>
  </si>
  <si>
    <t xml:space="preserve">HAZ-2017-055</t>
  </si>
  <si>
    <t xml:space="preserve">2017-02-28</t>
  </si>
  <si>
    <t xml:space="preserve">WZ-008</t>
  </si>
  <si>
    <t xml:space="preserve">Kompressor 50L</t>
  </si>
  <si>
    <t xml:space="preserve">Druckluft</t>
  </si>
  <si>
    <t xml:space="preserve">Schneider</t>
  </si>
  <si>
    <t xml:space="preserve">AIR-Master</t>
  </si>
  <si>
    <t xml:space="preserve">SCH-2019-091</t>
  </si>
  <si>
    <t xml:space="preserve">2019-07-01</t>
  </si>
  <si>
    <t xml:space="preserve">Druckprüfung 2025-08</t>
  </si>
  <si>
    <t xml:space="preserve">Farbkodierung:  🔵 Blaue Zellen = Eingabefelder  |  ⚫ Schwarze Zellen = Formeln</t>
  </si>
  <si>
    <t xml:space="preserve">🔄  Ausleih-Protokoll – Lückenlose Rückverfolgbarkeit</t>
  </si>
  <si>
    <t xml:space="preserve">Jede Bewegung wird dokumentiert · ⚠️-Symbol zeigt überfällige Rückgaben</t>
  </si>
  <si>
    <t xml:space="preserve">Ausleihe-ID</t>
  </si>
  <si>
    <t xml:space="preserve">Bezeichnung (auto)</t>
  </si>
  <si>
    <t xml:space="preserve">Entleiher</t>
  </si>
  <si>
    <t xml:space="preserve">Abteilung</t>
  </si>
  <si>
    <t xml:space="preserve">Ausleihdatum</t>
  </si>
  <si>
    <t xml:space="preserve">Geplante Rückgabe</t>
  </si>
  <si>
    <t xml:space="preserve">Tatsächl. Rückgabe</t>
  </si>
  <si>
    <t xml:space="preserve">Zustand bei Ausgabe</t>
  </si>
  <si>
    <t xml:space="preserve">Zustand bei Rückgabe</t>
  </si>
  <si>
    <t xml:space="preserve">Überfällig?</t>
  </si>
  <si>
    <t xml:space="preserve">AL-001</t>
  </si>
  <si>
    <t xml:space="preserve">Max Mustermann</t>
  </si>
  <si>
    <t xml:space="preserve">Montage</t>
  </si>
  <si>
    <t xml:space="preserve">2025-05-01</t>
  </si>
  <si>
    <t xml:space="preserve">2025-05-15</t>
  </si>
  <si>
    <t xml:space="preserve">Neuwertig</t>
  </si>
  <si>
    <t xml:space="preserve">AL-002</t>
  </si>
  <si>
    <t xml:space="preserve">Anna Schmidt</t>
  </si>
  <si>
    <t xml:space="preserve">QS</t>
  </si>
  <si>
    <t xml:space="preserve">2025-05-10</t>
  </si>
  <si>
    <t xml:space="preserve">2025-05-20</t>
  </si>
  <si>
    <t xml:space="preserve">2025-05-19</t>
  </si>
  <si>
    <t xml:space="preserve">Gut</t>
  </si>
  <si>
    <t xml:space="preserve">Termingerecht zurück</t>
  </si>
  <si>
    <t xml:space="preserve">AL-003</t>
  </si>
  <si>
    <t xml:space="preserve">Thomas Weber</t>
  </si>
  <si>
    <t xml:space="preserve">Instandhaltung</t>
  </si>
  <si>
    <t xml:space="preserve">2025-04-20</t>
  </si>
  <si>
    <t xml:space="preserve">2025-04-30</t>
  </si>
  <si>
    <t xml:space="preserve">AL-004</t>
  </si>
  <si>
    <t xml:space="preserve">Petra Klein</t>
  </si>
  <si>
    <t xml:space="preserve">Produktion</t>
  </si>
  <si>
    <t xml:space="preserve">2025-05-18</t>
  </si>
  <si>
    <t xml:space="preserve">2025-05-25</t>
  </si>
  <si>
    <t xml:space="preserve">AL-005</t>
  </si>
  <si>
    <t xml:space="preserve">Klaus Hoffmann</t>
  </si>
  <si>
    <t xml:space="preserve">2025-05-22</t>
  </si>
  <si>
    <t xml:space="preserve">2025-05-29</t>
  </si>
  <si>
    <t xml:space="preserve">2025-05-28</t>
  </si>
  <si>
    <t xml:space="preserve">Ausleihe-Statistik</t>
  </si>
  <si>
    <t xml:space="preserve">Aktuell ausgeliehen:</t>
  </si>
  <si>
    <t xml:space="preserve">Überfällige Rückgaben:</t>
  </si>
  <si>
    <t xml:space="preserve">Rückgaben diese Woche:</t>
  </si>
  <si>
    <t xml:space="preserve">🔧  Wartungsplan – DGUV-Prüfintervalle &amp; Sicherheits-Ampel</t>
  </si>
  <si>
    <t xml:space="preserve">Ampelsystem: 🔴 Überfällig  🟡 Demnächst fällig (≤30 Tage)  🟢 OK</t>
  </si>
  <si>
    <t xml:space="preserve">Wartungs-ID</t>
  </si>
  <si>
    <t xml:space="preserve">Prüfart</t>
  </si>
  <si>
    <t xml:space="preserve">Prüfintervall (Monate)</t>
  </si>
  <si>
    <t xml:space="preserve">Letzte Prüfung</t>
  </si>
  <si>
    <t xml:space="preserve">Nächste Prüfung (auto)</t>
  </si>
  <si>
    <t xml:space="preserve">Verantwortlich</t>
  </si>
  <si>
    <t xml:space="preserve">Kosten (€)</t>
  </si>
  <si>
    <t xml:space="preserve">Prüfbericht-Nr.</t>
  </si>
  <si>
    <t xml:space="preserve">WT-001</t>
  </si>
  <si>
    <t xml:space="preserve">Elektrische Prüfung (DGUV V3)</t>
  </si>
  <si>
    <t xml:space="preserve">2024-09-15</t>
  </si>
  <si>
    <t xml:space="preserve">Elektrofachkraft</t>
  </si>
  <si>
    <t xml:space="preserve">PB-2024-001</t>
  </si>
  <si>
    <t xml:space="preserve">WT-002</t>
  </si>
  <si>
    <t xml:space="preserve">2024-11-01</t>
  </si>
  <si>
    <t xml:space="preserve">PB-2024-002</t>
  </si>
  <si>
    <t xml:space="preserve">WT-003</t>
  </si>
  <si>
    <t xml:space="preserve">Kalibrierung / Messkontrolle</t>
  </si>
  <si>
    <t xml:space="preserve">2023-11-20</t>
  </si>
  <si>
    <t xml:space="preserve">Externer Prüfer</t>
  </si>
  <si>
    <t xml:space="preserve">PB-2023-001</t>
  </si>
  <si>
    <t xml:space="preserve">ISO 6789</t>
  </si>
  <si>
    <t xml:space="preserve">WT-004</t>
  </si>
  <si>
    <t xml:space="preserve">Kalibrierung (Lasermessgerät)</t>
  </si>
  <si>
    <t xml:space="preserve">2024-12-10</t>
  </si>
  <si>
    <t xml:space="preserve">Hersteller-Service</t>
  </si>
  <si>
    <t xml:space="preserve">PB-2024-003</t>
  </si>
  <si>
    <t xml:space="preserve">WT-005</t>
  </si>
  <si>
    <t xml:space="preserve">Mechanische Sichtprüfung</t>
  </si>
  <si>
    <t xml:space="preserve">2025-02-01</t>
  </si>
  <si>
    <t xml:space="preserve">Haustech. Meister</t>
  </si>
  <si>
    <t xml:space="preserve">PB-2025-001</t>
  </si>
  <si>
    <t xml:space="preserve">Defekt erkannt</t>
  </si>
  <si>
    <t xml:space="preserve">WT-006</t>
  </si>
  <si>
    <t xml:space="preserve">Sichtprüfung / Kalibrierung</t>
  </si>
  <si>
    <t xml:space="preserve">2024-01-12</t>
  </si>
  <si>
    <t xml:space="preserve">PB-2024-004</t>
  </si>
  <si>
    <t xml:space="preserve">WT-007</t>
  </si>
  <si>
    <t xml:space="preserve">Sichtprüfung Handwerkzeuge</t>
  </si>
  <si>
    <t xml:space="preserve">2024-03-28</t>
  </si>
  <si>
    <t xml:space="preserve">PB-2024-005</t>
  </si>
  <si>
    <t xml:space="preserve">WT-008</t>
  </si>
  <si>
    <t xml:space="preserve">Druckbehälterprüfung (DGUV)</t>
  </si>
  <si>
    <t xml:space="preserve">2024-07-01</t>
  </si>
  <si>
    <t xml:space="preserve">Externer TÜV</t>
  </si>
  <si>
    <t xml:space="preserve">PB-2024-006</t>
  </si>
  <si>
    <t xml:space="preserve">Nächste TÜV-Prüfung</t>
  </si>
  <si>
    <t xml:space="preserve">Wartungs-Übersicht</t>
  </si>
  <si>
    <t xml:space="preserve">Überfällige Prüfungen:</t>
  </si>
  <si>
    <t xml:space="preserve">Fällig in ≤30 Tagen:</t>
  </si>
  <si>
    <t xml:space="preserve">OK / nicht fällig:</t>
  </si>
  <si>
    <t xml:space="preserve">Gesamte Wartungskosten (€):</t>
  </si>
  <si>
    <t xml:space="preserve">📊  Controlling-Dashboard – Kosten, AfA &amp; KPIs</t>
  </si>
  <si>
    <t xml:space="preserve">Automatische Verdichtung aus Stammdaten, Ausleih- &amp; Wartungsprotokoll</t>
  </si>
  <si>
    <t xml:space="preserve">A  –  Bestandskennzahlen</t>
  </si>
  <si>
    <t xml:space="preserve">B  –  Finanz-KPIs (AfA &amp; Buchwerte)</t>
  </si>
  <si>
    <t xml:space="preserve">C  –  Wartungs-KPIs</t>
  </si>
  <si>
    <t xml:space="preserve">Anzahl Werkzeuge gesamt</t>
  </si>
  <si>
    <t xml:space="preserve">Davon verfügbar</t>
  </si>
  <si>
    <t xml:space="preserve">Davon ausgeliehen</t>
  </si>
  <si>
    <t xml:space="preserve">Davon in Wartung</t>
  </si>
  <si>
    <t xml:space="preserve">Davon defekt</t>
  </si>
  <si>
    <t xml:space="preserve">Davon ausgesondert</t>
  </si>
  <si>
    <t xml:space="preserve">Gesamter Anschaffungswert (€)</t>
  </si>
  <si>
    <t xml:space="preserve">Aktueller Gesamtzeitwert (€)</t>
  </si>
  <si>
    <t xml:space="preserve">Kumulierte Abschreibung (€)</t>
  </si>
  <si>
    <t xml:space="preserve">Jährl. Gesamt-AfA (€)</t>
  </si>
  <si>
    <t xml:space="preserve">Ø Werkzeugwert (€)</t>
  </si>
  <si>
    <t xml:space="preserve">Werterhalt-Quote (%)</t>
  </si>
  <si>
    <t xml:space="preserve">Überfällige Prüfungen</t>
  </si>
  <si>
    <t xml:space="preserve">Fällig in ≤30 Tagen</t>
  </si>
  <si>
    <t xml:space="preserve">Prüfungen OK</t>
  </si>
  <si>
    <t xml:space="preserve">D  –  Interaktiver AfA-Rechner (W₀ × (1 – t/N))</t>
  </si>
  <si>
    <t xml:space="preserve">Gesamte Wartungskosten (€)</t>
  </si>
  <si>
    <t xml:space="preserve">Anzahl der Werkzeuge</t>
  </si>
  <si>
    <t xml:space="preserve">Stück</t>
  </si>
  <si>
    <t xml:space="preserve">Überfällige Ausleihen</t>
  </si>
  <si>
    <t xml:space="preserve">Ø Anschaffungswert je Werkzeug (€)</t>
  </si>
  <si>
    <t xml:space="preserve">€</t>
  </si>
  <si>
    <t xml:space="preserve">Aktuelle Ausleihen</t>
  </si>
  <si>
    <t xml:space="preserve">Ø aktuelles Alter (Jahre)</t>
  </si>
  <si>
    <t xml:space="preserve">Jahre</t>
  </si>
  <si>
    <t xml:space="preserve">Ø Nutzungsdauer (Jahre)</t>
  </si>
  <si>
    <t xml:space="preserve">Rechner-Ergebnisse</t>
  </si>
  <si>
    <t xml:space="preserve">Aktueller Zeitwert nach AfA (€)</t>
  </si>
  <si>
    <t xml:space="preserve">Jährliche Abschreibung (€)</t>
  </si>
  <si>
    <t xml:space="preserve">Restnutzungsdauer (Jahre)</t>
  </si>
  <si>
    <t xml:space="preserve">Formel: W_aktuell = W₀ × (1 − t / N)  |  Lineare Abschreibung gemäß AfA-Tabelle</t>
  </si>
  <si>
    <t xml:space="preserve">E  –  Kategorien-Auswertung (Anschaffungswert)</t>
  </si>
  <si>
    <t xml:space="preserve">Anzahl</t>
  </si>
  <si>
    <t xml:space="preserve">Anschaffungswert (€)</t>
  </si>
  <si>
    <t xml:space="preserve">Zeitwert (€)</t>
  </si>
  <si>
    <t xml:space="preserve">AfA (€)</t>
  </si>
  <si>
    <t xml:space="preserve">Anteil (%)</t>
  </si>
  <si>
    <t xml:space="preserve">Hebe-/Spanntechnik</t>
  </si>
  <si>
    <t xml:space="preserve">Sonstige</t>
  </si>
  <si>
    <t xml:space="preserve">GESAMT</t>
  </si>
  <si>
    <t xml:space="preserve">Farbkodierung:</t>
  </si>
  <si>
    <t xml:space="preserve">Eingabe (blau)</t>
  </si>
  <si>
    <t xml:space="preserve">Formel (schwarz)</t>
  </si>
  <si>
    <t xml:space="preserve">Cross-Sheet-Link (grün)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</si>
</sst>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#,##0.00&quot; €&quot;;\(#,##0.00&quot; €)&quot;;\-"/>
    <numFmt numFmtId="167" formatCode="0"/>
    <numFmt numFmtId="168" formatCode="0.0"/>
    <numFmt numFmtId="169" formatCode="General"/>
    <numFmt numFmtId="170" formatCode="0.0%;\(0.0%\);\-"/>
    <numFmt numFmtId="171" formatCode="0.0&quot; Jahre&quot;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008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6E4F7"/>
        <bgColor rgb="FFC6EFCE"/>
      </patternFill>
    </fill>
    <fill>
      <patternFill patternType="solid">
        <fgColor rgb="FFFFFFFF"/>
        <bgColor rgb="FFFFF2CC"/>
      </patternFill>
    </fill>
    <fill>
      <patternFill patternType="solid">
        <fgColor rgb="FF2E75B6"/>
        <bgColor rgb="FF0066CC"/>
      </patternFill>
    </fill>
    <fill>
      <patternFill patternType="solid">
        <fgColor rgb="FFFFF2CC"/>
        <bgColor rgb="FFFFEB9C"/>
      </patternFill>
    </fill>
    <fill>
      <patternFill patternType="solid">
        <fgColor rgb="FFC6EFCE"/>
        <bgColor rgb="FFD6E4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color rgb="FF276221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2CC"/>
      <rgbColor rgb="FFCCFF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800"/>
      <rgbColor rgb="FFFF6600"/>
      <rgbColor rgb="FF666666"/>
      <rgbColor rgb="FFAAAAAA"/>
      <rgbColor rgb="FF1F3864"/>
      <rgbColor rgb="FF4CAF50"/>
      <rgbColor rgb="FF003300"/>
      <rgbColor rgb="FF333300"/>
      <rgbColor rgb="FF993300"/>
      <rgbColor rgb="FF993366"/>
      <rgbColor rgb="FF333399"/>
      <rgbColor rgb="FF2762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N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4" min="3" style="0" width="1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22"/>
    <col collapsed="false" customWidth="true" hidden="false" outlineLevel="0" max="11" min="10" style="0" width="18"/>
    <col collapsed="false" customWidth="true" hidden="false" outlineLevel="0" max="12" min="12" style="0" width="22"/>
    <col collapsed="false" customWidth="true" hidden="false" outlineLevel="0" max="13" min="13" style="0" width="14"/>
    <col collapsed="false" customWidth="true" hidden="false" outlineLevel="0" max="14" min="14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4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8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5" t="s">
        <v>23</v>
      </c>
      <c r="I4" s="6" t="n">
        <v>380</v>
      </c>
      <c r="J4" s="7" t="n">
        <v>5</v>
      </c>
      <c r="K4" s="8" t="n">
        <f aca="true">IFERROR(ROUNDDOWN((TODAY()-H4)/365.25,1),"-")</f>
        <v>5</v>
      </c>
      <c r="L4" s="9" t="n">
        <f aca="false">IFERROR(I4*(1-K4/J4),"-")</f>
        <v>0</v>
      </c>
      <c r="M4" s="4" t="s">
        <v>24</v>
      </c>
      <c r="N4" s="4"/>
    </row>
    <row r="5" customFormat="false" ht="18" hidden="false" customHeight="true" outlineLevel="0" collapsed="false">
      <c r="A5" s="10" t="s">
        <v>25</v>
      </c>
      <c r="B5" s="10" t="s">
        <v>26</v>
      </c>
      <c r="C5" s="10" t="s">
        <v>18</v>
      </c>
      <c r="D5" s="10" t="s">
        <v>27</v>
      </c>
      <c r="E5" s="10" t="s">
        <v>28</v>
      </c>
      <c r="F5" s="10" t="s">
        <v>29</v>
      </c>
      <c r="G5" s="10" t="s">
        <v>22</v>
      </c>
      <c r="H5" s="11" t="s">
        <v>30</v>
      </c>
      <c r="I5" s="12" t="n">
        <v>210</v>
      </c>
      <c r="J5" s="13" t="n">
        <v>5</v>
      </c>
      <c r="K5" s="14" t="n">
        <f aca="true">IFERROR(ROUNDDOWN((TODAY()-H5)/365.25,1),"-")</f>
        <v>5.8</v>
      </c>
      <c r="L5" s="15" t="n">
        <f aca="false">IFERROR(I5*(1-K5/J5),"-")</f>
        <v>-33.6</v>
      </c>
      <c r="M5" s="10" t="s">
        <v>31</v>
      </c>
      <c r="N5" s="10" t="s">
        <v>32</v>
      </c>
    </row>
    <row r="6" customFormat="false" ht="18" hidden="false" customHeight="true" outlineLevel="0" collapsed="false">
      <c r="A6" s="4" t="s">
        <v>33</v>
      </c>
      <c r="B6" s="4" t="s">
        <v>34</v>
      </c>
      <c r="C6" s="4" t="s">
        <v>35</v>
      </c>
      <c r="D6" s="4" t="s">
        <v>36</v>
      </c>
      <c r="E6" s="4" t="s">
        <v>37</v>
      </c>
      <c r="F6" s="4" t="s">
        <v>38</v>
      </c>
      <c r="G6" s="4" t="s">
        <v>39</v>
      </c>
      <c r="H6" s="5" t="s">
        <v>40</v>
      </c>
      <c r="I6" s="6" t="n">
        <v>125</v>
      </c>
      <c r="J6" s="7" t="n">
        <v>8</v>
      </c>
      <c r="K6" s="8" t="n">
        <f aca="true">IFERROR(ROUNDDOWN((TODAY()-H6)/365.25,1),"-")</f>
        <v>6.3</v>
      </c>
      <c r="L6" s="9" t="n">
        <f aca="false">IFERROR(I6*(1-K6/J6),"-")</f>
        <v>26.5625</v>
      </c>
      <c r="M6" s="4" t="s">
        <v>24</v>
      </c>
      <c r="N6" s="4"/>
    </row>
    <row r="7" customFormat="false" ht="18" hidden="false" customHeight="true" outlineLevel="0" collapsed="false">
      <c r="A7" s="10" t="s">
        <v>41</v>
      </c>
      <c r="B7" s="10" t="s">
        <v>42</v>
      </c>
      <c r="C7" s="10" t="s">
        <v>43</v>
      </c>
      <c r="D7" s="10" t="s">
        <v>44</v>
      </c>
      <c r="E7" s="10" t="s">
        <v>45</v>
      </c>
      <c r="F7" s="10" t="s">
        <v>46</v>
      </c>
      <c r="G7" s="10" t="s">
        <v>47</v>
      </c>
      <c r="H7" s="11" t="s">
        <v>48</v>
      </c>
      <c r="I7" s="12" t="n">
        <v>550</v>
      </c>
      <c r="J7" s="13" t="n">
        <v>6</v>
      </c>
      <c r="K7" s="14" t="n">
        <f aca="true">IFERROR(ROUNDDOWN((TODAY()-H7)/365.25,1),"-")</f>
        <v>4.2</v>
      </c>
      <c r="L7" s="15" t="n">
        <f aca="false">IFERROR(I7*(1-K7/J7),"-")</f>
        <v>165</v>
      </c>
      <c r="M7" s="10" t="s">
        <v>49</v>
      </c>
      <c r="N7" s="10" t="s">
        <v>50</v>
      </c>
    </row>
    <row r="8" customFormat="false" ht="18" hidden="false" customHeight="true" outlineLevel="0" collapsed="false">
      <c r="A8" s="4" t="s">
        <v>51</v>
      </c>
      <c r="B8" s="4" t="s">
        <v>52</v>
      </c>
      <c r="C8" s="4" t="s">
        <v>18</v>
      </c>
      <c r="D8" s="4" t="s">
        <v>53</v>
      </c>
      <c r="E8" s="4" t="s">
        <v>54</v>
      </c>
      <c r="F8" s="4" t="s">
        <v>55</v>
      </c>
      <c r="G8" s="4" t="s">
        <v>56</v>
      </c>
      <c r="H8" s="5" t="s">
        <v>57</v>
      </c>
      <c r="I8" s="6" t="n">
        <v>290</v>
      </c>
      <c r="J8" s="7" t="n">
        <v>5</v>
      </c>
      <c r="K8" s="8" t="n">
        <f aca="true">IFERROR(ROUNDDOWN((TODAY()-H8)/365.25,1),"-")</f>
        <v>7.6</v>
      </c>
      <c r="L8" s="9" t="n">
        <f aca="false">IFERROR(I8*(1-K8/J8),"-")</f>
        <v>-150.8</v>
      </c>
      <c r="M8" s="4" t="s">
        <v>58</v>
      </c>
      <c r="N8" s="4" t="s">
        <v>59</v>
      </c>
    </row>
    <row r="9" customFormat="false" ht="18" hidden="false" customHeight="true" outlineLevel="0" collapsed="false">
      <c r="A9" s="10" t="s">
        <v>60</v>
      </c>
      <c r="B9" s="10" t="s">
        <v>61</v>
      </c>
      <c r="C9" s="10" t="s">
        <v>35</v>
      </c>
      <c r="D9" s="10" t="s">
        <v>62</v>
      </c>
      <c r="E9" s="10" t="s">
        <v>63</v>
      </c>
      <c r="F9" s="10" t="s">
        <v>64</v>
      </c>
      <c r="G9" s="10" t="s">
        <v>39</v>
      </c>
      <c r="H9" s="11" t="s">
        <v>65</v>
      </c>
      <c r="I9" s="12" t="n">
        <v>85</v>
      </c>
      <c r="J9" s="13" t="n">
        <v>10</v>
      </c>
      <c r="K9" s="14" t="n">
        <f aca="true">IFERROR(ROUNDDOWN((TODAY()-H9)/365.25,1),"-")</f>
        <v>6</v>
      </c>
      <c r="L9" s="15" t="n">
        <f aca="false">IFERROR(I9*(1-K9/J9),"-")</f>
        <v>34</v>
      </c>
      <c r="M9" s="10" t="s">
        <v>24</v>
      </c>
      <c r="N9" s="10"/>
    </row>
    <row r="10" customFormat="false" ht="18" hidden="false" customHeight="true" outlineLevel="0" collapsed="false">
      <c r="A10" s="4" t="s">
        <v>66</v>
      </c>
      <c r="B10" s="4" t="s">
        <v>67</v>
      </c>
      <c r="C10" s="4" t="s">
        <v>35</v>
      </c>
      <c r="D10" s="4" t="s">
        <v>68</v>
      </c>
      <c r="E10" s="4" t="s">
        <v>69</v>
      </c>
      <c r="F10" s="4" t="s">
        <v>70</v>
      </c>
      <c r="G10" s="4" t="s">
        <v>22</v>
      </c>
      <c r="H10" s="5" t="s">
        <v>71</v>
      </c>
      <c r="I10" s="6" t="n">
        <v>195</v>
      </c>
      <c r="J10" s="7" t="n">
        <v>10</v>
      </c>
      <c r="K10" s="8" t="n">
        <f aca="true">IFERROR(ROUNDDOWN((TODAY()-H10)/365.25,1),"-")</f>
        <v>9.1</v>
      </c>
      <c r="L10" s="9" t="n">
        <f aca="false">IFERROR(I10*(1-K10/J10),"-")</f>
        <v>17.55</v>
      </c>
      <c r="M10" s="4" t="s">
        <v>24</v>
      </c>
      <c r="N10" s="4"/>
    </row>
    <row r="11" customFormat="false" ht="18" hidden="false" customHeight="true" outlineLevel="0" collapsed="false">
      <c r="A11" s="10" t="s">
        <v>72</v>
      </c>
      <c r="B11" s="10" t="s">
        <v>73</v>
      </c>
      <c r="C11" s="10" t="s">
        <v>74</v>
      </c>
      <c r="D11" s="10" t="s">
        <v>75</v>
      </c>
      <c r="E11" s="10" t="s">
        <v>76</v>
      </c>
      <c r="F11" s="10" t="s">
        <v>77</v>
      </c>
      <c r="G11" s="10" t="s">
        <v>56</v>
      </c>
      <c r="H11" s="11" t="s">
        <v>78</v>
      </c>
      <c r="I11" s="12" t="n">
        <v>480</v>
      </c>
      <c r="J11" s="13" t="n">
        <v>8</v>
      </c>
      <c r="K11" s="14" t="n">
        <f aca="true">IFERROR(ROUNDDOWN((TODAY()-H11)/365.25,1),"-")</f>
        <v>6.7</v>
      </c>
      <c r="L11" s="15" t="n">
        <f aca="false">IFERROR(I11*(1-K11/J11),"-")</f>
        <v>78</v>
      </c>
      <c r="M11" s="10" t="s">
        <v>24</v>
      </c>
      <c r="N11" s="10" t="s">
        <v>79</v>
      </c>
    </row>
    <row r="13" customFormat="false" ht="15" hidden="false" customHeight="false" outlineLevel="0" collapsed="false">
      <c r="A13" s="16" t="s">
        <v>80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</sheetData>
  <mergeCells count="3">
    <mergeCell ref="A1:N1"/>
    <mergeCell ref="A2:N2"/>
    <mergeCell ref="A13:N13"/>
  </mergeCells>
  <conditionalFormatting sqref="M4:M200">
    <cfRule type="expression" priority="2" aboveAverage="0" equalAverage="0" bottom="0" percent="0" rank="0" text="" dxfId="0">
      <formula>M4="Defekt"</formula>
    </cfRule>
    <cfRule type="expression" priority="3" aboveAverage="0" equalAverage="0" bottom="0" percent="0" rank="0" text="" dxfId="1">
      <formula>M4="Verfügbar"</formula>
    </cfRule>
    <cfRule type="expression" priority="4" aboveAverage="0" equalAverage="0" bottom="0" percent="0" rank="0" text="" dxfId="2">
      <formula>M4="Wartung"</formula>
    </cfRule>
  </conditionalFormatting>
  <dataValidations count="2">
    <dataValidation allowBlank="false" errorStyle="stop" operator="between" showDropDown="false" showErrorMessage="false" showInputMessage="false" sqref="C4:C200" type="list">
      <formula1>"Elektrowerkzeug,Handwerkzeug,Messtechnik,Druckluft,Hebe-/Spanntechnik,Sonstige"</formula1>
      <formula2>0</formula2>
    </dataValidation>
    <dataValidation allowBlank="false" errorStyle="stop" operator="between" showDropDown="false" showErrorMessage="false" showInputMessage="false" sqref="M4:M200" type="list">
      <formula1>"Verfügbar,Ausgeliehen,Wartung,Defekt,Ausgesondert"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A1:L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8" min="7" style="0" width="18"/>
    <col collapsed="false" customWidth="true" hidden="false" outlineLevel="0" max="10" min="9" style="0" width="20"/>
    <col collapsed="false" customWidth="true" hidden="false" outlineLevel="0" max="11" min="11" style="0" width="16"/>
    <col collapsed="false" customWidth="true" hidden="false" outlineLevel="0" max="12" min="12" style="0" width="22"/>
  </cols>
  <sheetData>
    <row r="1" customFormat="false" ht="30" hidden="false" customHeight="true" outlineLevel="0" collapsed="false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" t="s">
        <v>83</v>
      </c>
      <c r="B3" s="3" t="s">
        <v>2</v>
      </c>
      <c r="C3" s="3" t="s">
        <v>84</v>
      </c>
      <c r="D3" s="3" t="s">
        <v>85</v>
      </c>
      <c r="E3" s="3" t="s">
        <v>86</v>
      </c>
      <c r="F3" s="3" t="s">
        <v>87</v>
      </c>
      <c r="G3" s="3" t="s">
        <v>88</v>
      </c>
      <c r="H3" s="3" t="s">
        <v>89</v>
      </c>
      <c r="I3" s="3" t="s">
        <v>90</v>
      </c>
      <c r="J3" s="3" t="s">
        <v>91</v>
      </c>
      <c r="K3" s="3" t="s">
        <v>92</v>
      </c>
      <c r="L3" s="3" t="s">
        <v>15</v>
      </c>
    </row>
    <row r="4" customFormat="false" ht="18" hidden="false" customHeight="true" outlineLevel="0" collapsed="false">
      <c r="A4" s="4" t="s">
        <v>93</v>
      </c>
      <c r="B4" s="4" t="s">
        <v>25</v>
      </c>
      <c r="C4" s="17" t="str">
        <f aca="false">IFERROR(VLOOKUP(B4,Stammdaten!$A$4:$B$200,2,0),"-")</f>
        <v>Winkelschleifer</v>
      </c>
      <c r="D4" s="4" t="s">
        <v>94</v>
      </c>
      <c r="E4" s="4" t="s">
        <v>95</v>
      </c>
      <c r="F4" s="5" t="s">
        <v>96</v>
      </c>
      <c r="G4" s="5" t="s">
        <v>97</v>
      </c>
      <c r="H4" s="5"/>
      <c r="I4" s="4" t="s">
        <v>98</v>
      </c>
      <c r="J4" s="4"/>
      <c r="K4" s="18" t="str">
        <f aca="true">IF(AND(H4="",G4&lt;TODAY()),"⚠️ Überfällig",IF(H4&lt;&gt;"","✅ Zurück","Offen"))</f>
        <v>Offen</v>
      </c>
      <c r="L4" s="4"/>
    </row>
    <row r="5" customFormat="false" ht="18" hidden="false" customHeight="true" outlineLevel="0" collapsed="false">
      <c r="A5" s="10" t="s">
        <v>99</v>
      </c>
      <c r="B5" s="10" t="s">
        <v>41</v>
      </c>
      <c r="C5" s="19" t="str">
        <f aca="false">IFERROR(VLOOKUP(B5,Stammdaten!$A$4:$B$200,2,0),"-")</f>
        <v>Lasermessgerät</v>
      </c>
      <c r="D5" s="10" t="s">
        <v>100</v>
      </c>
      <c r="E5" s="10" t="s">
        <v>101</v>
      </c>
      <c r="F5" s="11" t="s">
        <v>102</v>
      </c>
      <c r="G5" s="11" t="s">
        <v>103</v>
      </c>
      <c r="H5" s="11" t="s">
        <v>104</v>
      </c>
      <c r="I5" s="10" t="s">
        <v>105</v>
      </c>
      <c r="J5" s="10" t="s">
        <v>105</v>
      </c>
      <c r="K5" s="20" t="str">
        <f aca="true">IF(AND(H5="",G5&lt;TODAY()),"⚠️ Überfällig",IF(H5&lt;&gt;"","✅ Zurück","Offen"))</f>
        <v>✅ Zurück</v>
      </c>
      <c r="L5" s="10" t="s">
        <v>106</v>
      </c>
    </row>
    <row r="6" customFormat="false" ht="18" hidden="false" customHeight="true" outlineLevel="0" collapsed="false">
      <c r="A6" s="4" t="s">
        <v>107</v>
      </c>
      <c r="B6" s="4" t="s">
        <v>16</v>
      </c>
      <c r="C6" s="17" t="str">
        <f aca="false">IFERROR(VLOOKUP(B6,Stammdaten!$A$4:$B$200,2,0),"-")</f>
        <v>Bohrmaschine Profi</v>
      </c>
      <c r="D6" s="4" t="s">
        <v>108</v>
      </c>
      <c r="E6" s="4" t="s">
        <v>109</v>
      </c>
      <c r="F6" s="5" t="s">
        <v>110</v>
      </c>
      <c r="G6" s="5" t="s">
        <v>111</v>
      </c>
      <c r="H6" s="5"/>
      <c r="I6" s="4" t="s">
        <v>98</v>
      </c>
      <c r="J6" s="4"/>
      <c r="K6" s="18" t="str">
        <f aca="true">IF(AND(H6="",G6&lt;TODAY()),"⚠️ Überfällig",IF(H6&lt;&gt;"","✅ Zurück","Offen"))</f>
        <v>Offen</v>
      </c>
      <c r="L6" s="4"/>
    </row>
    <row r="7" customFormat="false" ht="18" hidden="false" customHeight="true" outlineLevel="0" collapsed="false">
      <c r="A7" s="10" t="s">
        <v>112</v>
      </c>
      <c r="B7" s="10" t="s">
        <v>66</v>
      </c>
      <c r="C7" s="19" t="str">
        <f aca="false">IFERROR(VLOOKUP(B7,Stammdaten!$A$4:$B$200,2,0),"-")</f>
        <v>Steckschlüsselsatz</v>
      </c>
      <c r="D7" s="10" t="s">
        <v>113</v>
      </c>
      <c r="E7" s="10" t="s">
        <v>114</v>
      </c>
      <c r="F7" s="11" t="s">
        <v>115</v>
      </c>
      <c r="G7" s="11" t="s">
        <v>116</v>
      </c>
      <c r="H7" s="11"/>
      <c r="I7" s="10" t="s">
        <v>105</v>
      </c>
      <c r="J7" s="10"/>
      <c r="K7" s="20" t="str">
        <f aca="true">IF(AND(H7="",G7&lt;TODAY()),"⚠️ Überfällig",IF(H7&lt;&gt;"","✅ Zurück","Offen"))</f>
        <v>Offen</v>
      </c>
      <c r="L7" s="10"/>
    </row>
    <row r="8" customFormat="false" ht="18" hidden="false" customHeight="true" outlineLevel="0" collapsed="false">
      <c r="A8" s="4" t="s">
        <v>117</v>
      </c>
      <c r="B8" s="4" t="s">
        <v>33</v>
      </c>
      <c r="C8" s="17" t="str">
        <f aca="false">IFERROR(VLOOKUP(B8,Stammdaten!$A$4:$B$200,2,0),"-")</f>
        <v>Drehmomentschlüssel</v>
      </c>
      <c r="D8" s="4" t="s">
        <v>118</v>
      </c>
      <c r="E8" s="4" t="s">
        <v>49</v>
      </c>
      <c r="F8" s="5" t="s">
        <v>119</v>
      </c>
      <c r="G8" s="5" t="s">
        <v>120</v>
      </c>
      <c r="H8" s="5" t="s">
        <v>121</v>
      </c>
      <c r="I8" s="4" t="s">
        <v>105</v>
      </c>
      <c r="J8" s="4" t="s">
        <v>105</v>
      </c>
      <c r="K8" s="18" t="str">
        <f aca="true">IF(AND(H8="",G8&lt;TODAY()),"⚠️ Überfällig",IF(H8&lt;&gt;"","✅ Zurück","Offen"))</f>
        <v>✅ Zurück</v>
      </c>
      <c r="L8" s="4"/>
    </row>
    <row r="11" customFormat="false" ht="15" hidden="false" customHeight="true" outlineLevel="0" collapsed="false">
      <c r="A11" s="21" t="s">
        <v>122</v>
      </c>
      <c r="B11" s="21"/>
      <c r="C11" s="21"/>
      <c r="D11" s="21"/>
    </row>
    <row r="12" customFormat="false" ht="15" hidden="false" customHeight="false" outlineLevel="0" collapsed="false">
      <c r="A12" s="22" t="s">
        <v>123</v>
      </c>
      <c r="B12" s="23" t="n">
        <f aca="false">COUNTIF(K4:K200,"Offen")</f>
        <v>3</v>
      </c>
    </row>
    <row r="13" customFormat="false" ht="15" hidden="false" customHeight="false" outlineLevel="0" collapsed="false">
      <c r="A13" s="22" t="s">
        <v>124</v>
      </c>
      <c r="B13" s="23" t="n">
        <f aca="false">COUNTIF(K4:K200,"⚠️ Überfällig")</f>
        <v>0</v>
      </c>
    </row>
    <row r="14" customFormat="false" ht="15" hidden="false" customHeight="false" outlineLevel="0" collapsed="false">
      <c r="A14" s="22" t="s">
        <v>125</v>
      </c>
      <c r="B14" s="23" t="n">
        <f aca="true">COUNTIFS(H4:H200,"&gt;="&amp;TODAY()-WEEKDAY(TODAY(),2)+1,H4:H200,"&lt;="&amp;TODAY())</f>
        <v>0</v>
      </c>
    </row>
  </sheetData>
  <mergeCells count="3">
    <mergeCell ref="A1:L1"/>
    <mergeCell ref="A2:L2"/>
    <mergeCell ref="A11:D11"/>
  </mergeCells>
  <conditionalFormatting sqref="K4:K200">
    <cfRule type="expression" priority="2" aboveAverage="0" equalAverage="0" bottom="0" percent="0" rank="0" text="" dxfId="3">
      <formula>K4="⚠️ Überfällig"</formula>
    </cfRule>
    <cfRule type="expression" priority="3" aboveAverage="0" equalAverage="0" bottom="0" percent="0" rank="0" text="" dxfId="4">
      <formula>K4="✅ Zurück"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800"/>
    <pageSetUpPr fitToPage="false"/>
  </sheetPr>
  <dimension ref="A1:L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4" min="3" style="0" width="22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8" min="8" style="0" width="18"/>
    <col collapsed="false" customWidth="true" hidden="false" outlineLevel="0" max="10" min="9" style="0" width="14"/>
    <col collapsed="false" customWidth="true" hidden="false" outlineLevel="0" max="11" min="11" style="0" width="16"/>
    <col collapsed="false" customWidth="true" hidden="false" outlineLevel="0" max="12" min="12" style="0" width="22"/>
  </cols>
  <sheetData>
    <row r="1" customFormat="false" ht="30" hidden="false" customHeight="true" outlineLevel="0" collapsed="false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" t="s">
        <v>128</v>
      </c>
      <c r="B3" s="3" t="s">
        <v>2</v>
      </c>
      <c r="C3" s="3" t="s">
        <v>84</v>
      </c>
      <c r="D3" s="3" t="s">
        <v>129</v>
      </c>
      <c r="E3" s="3" t="s">
        <v>130</v>
      </c>
      <c r="F3" s="3" t="s">
        <v>131</v>
      </c>
      <c r="G3" s="3" t="s">
        <v>132</v>
      </c>
      <c r="H3" s="3" t="s">
        <v>133</v>
      </c>
      <c r="I3" s="3" t="s">
        <v>134</v>
      </c>
      <c r="J3" s="3" t="s">
        <v>14</v>
      </c>
      <c r="K3" s="3" t="s">
        <v>135</v>
      </c>
      <c r="L3" s="3" t="s">
        <v>15</v>
      </c>
    </row>
    <row r="4" customFormat="false" ht="18" hidden="false" customHeight="true" outlineLevel="0" collapsed="false">
      <c r="A4" s="4" t="s">
        <v>136</v>
      </c>
      <c r="B4" s="4" t="s">
        <v>16</v>
      </c>
      <c r="C4" s="17" t="str">
        <f aca="false">IFERROR(VLOOKUP(B4,Stammdaten!$A$4:$B$200,2,0),"-")</f>
        <v>Bohrmaschine Profi</v>
      </c>
      <c r="D4" s="4" t="s">
        <v>137</v>
      </c>
      <c r="E4" s="4" t="n">
        <v>12</v>
      </c>
      <c r="F4" s="5" t="s">
        <v>138</v>
      </c>
      <c r="G4" s="24" t="n">
        <f aca="false">IFERROR(EDATE(F4,E4),"-")</f>
        <v>45915</v>
      </c>
      <c r="H4" s="4" t="s">
        <v>139</v>
      </c>
      <c r="I4" s="6" t="n">
        <v>95</v>
      </c>
      <c r="J4" s="18" t="str">
        <f aca="true">IFERROR(IF(G4&lt;TODAY(),"🔴 Überfällig",IF(G4-TODAY()&lt;=30,"🟡 Demnächst","🟢 OK")),"-")</f>
        <v>🔴 Überfällig</v>
      </c>
      <c r="K4" s="4" t="s">
        <v>140</v>
      </c>
      <c r="L4" s="4"/>
    </row>
    <row r="5" customFormat="false" ht="18" hidden="false" customHeight="true" outlineLevel="0" collapsed="false">
      <c r="A5" s="10" t="s">
        <v>141</v>
      </c>
      <c r="B5" s="10" t="s">
        <v>25</v>
      </c>
      <c r="C5" s="19" t="str">
        <f aca="false">IFERROR(VLOOKUP(B5,Stammdaten!$A$4:$B$200,2,0),"-")</f>
        <v>Winkelschleifer</v>
      </c>
      <c r="D5" s="10" t="s">
        <v>137</v>
      </c>
      <c r="E5" s="10" t="n">
        <v>12</v>
      </c>
      <c r="F5" s="11" t="s">
        <v>142</v>
      </c>
      <c r="G5" s="25" t="n">
        <f aca="false">IFERROR(EDATE(F5,E5),"-")</f>
        <v>45962</v>
      </c>
      <c r="H5" s="10" t="s">
        <v>139</v>
      </c>
      <c r="I5" s="12" t="n">
        <v>85</v>
      </c>
      <c r="J5" s="20" t="str">
        <f aca="true">IFERROR(IF(G5&lt;TODAY(),"🔴 Überfällig",IF(G5-TODAY()&lt;=30,"🟡 Demnächst","🟢 OK")),"-")</f>
        <v>🔴 Überfällig</v>
      </c>
      <c r="K5" s="10" t="s">
        <v>143</v>
      </c>
      <c r="L5" s="10"/>
    </row>
    <row r="6" customFormat="false" ht="18" hidden="false" customHeight="true" outlineLevel="0" collapsed="false">
      <c r="A6" s="4" t="s">
        <v>144</v>
      </c>
      <c r="B6" s="4" t="s">
        <v>33</v>
      </c>
      <c r="C6" s="17" t="str">
        <f aca="false">IFERROR(VLOOKUP(B6,Stammdaten!$A$4:$B$200,2,0),"-")</f>
        <v>Drehmomentschlüssel</v>
      </c>
      <c r="D6" s="4" t="s">
        <v>145</v>
      </c>
      <c r="E6" s="4" t="n">
        <v>24</v>
      </c>
      <c r="F6" s="5" t="s">
        <v>146</v>
      </c>
      <c r="G6" s="24" t="n">
        <f aca="false">IFERROR(EDATE(F6,E6),"-")</f>
        <v>45981</v>
      </c>
      <c r="H6" s="4" t="s">
        <v>147</v>
      </c>
      <c r="I6" s="6" t="n">
        <v>150</v>
      </c>
      <c r="J6" s="18" t="str">
        <f aca="true">IFERROR(IF(G6&lt;TODAY(),"🔴 Überfällig",IF(G6-TODAY()&lt;=30,"🟡 Demnächst","🟢 OK")),"-")</f>
        <v>🔴 Überfällig</v>
      </c>
      <c r="K6" s="4" t="s">
        <v>148</v>
      </c>
      <c r="L6" s="4" t="s">
        <v>149</v>
      </c>
    </row>
    <row r="7" customFormat="false" ht="18" hidden="false" customHeight="true" outlineLevel="0" collapsed="false">
      <c r="A7" s="10" t="s">
        <v>150</v>
      </c>
      <c r="B7" s="10" t="s">
        <v>41</v>
      </c>
      <c r="C7" s="19" t="str">
        <f aca="false">IFERROR(VLOOKUP(B7,Stammdaten!$A$4:$B$200,2,0),"-")</f>
        <v>Lasermessgerät</v>
      </c>
      <c r="D7" s="10" t="s">
        <v>151</v>
      </c>
      <c r="E7" s="10" t="n">
        <v>12</v>
      </c>
      <c r="F7" s="11" t="s">
        <v>152</v>
      </c>
      <c r="G7" s="25" t="n">
        <f aca="false">IFERROR(EDATE(F7,E7),"-")</f>
        <v>46001</v>
      </c>
      <c r="H7" s="10" t="s">
        <v>153</v>
      </c>
      <c r="I7" s="12" t="n">
        <v>200</v>
      </c>
      <c r="J7" s="20" t="str">
        <f aca="true">IFERROR(IF(G7&lt;TODAY(),"🔴 Überfällig",IF(G7-TODAY()&lt;=30,"🟡 Demnächst","🟢 OK")),"-")</f>
        <v>🔴 Überfällig</v>
      </c>
      <c r="K7" s="10" t="s">
        <v>154</v>
      </c>
      <c r="L7" s="10"/>
    </row>
    <row r="8" customFormat="false" ht="18" hidden="false" customHeight="true" outlineLevel="0" collapsed="false">
      <c r="A8" s="4" t="s">
        <v>155</v>
      </c>
      <c r="B8" s="4" t="s">
        <v>51</v>
      </c>
      <c r="C8" s="17" t="str">
        <f aca="false">IFERROR(VLOOKUP(B8,Stammdaten!$A$4:$B$200,2,0),"-")</f>
        <v>Säbelsäge</v>
      </c>
      <c r="D8" s="4" t="s">
        <v>156</v>
      </c>
      <c r="E8" s="4" t="n">
        <v>6</v>
      </c>
      <c r="F8" s="5" t="s">
        <v>157</v>
      </c>
      <c r="G8" s="24" t="n">
        <f aca="false">IFERROR(EDATE(F8,E8),"-")</f>
        <v>45870</v>
      </c>
      <c r="H8" s="4" t="s">
        <v>158</v>
      </c>
      <c r="I8" s="6" t="n">
        <v>40</v>
      </c>
      <c r="J8" s="18" t="str">
        <f aca="true">IFERROR(IF(G8&lt;TODAY(),"🔴 Überfällig",IF(G8-TODAY()&lt;=30,"🟡 Demnächst","🟢 OK")),"-")</f>
        <v>🔴 Überfällig</v>
      </c>
      <c r="K8" s="4" t="s">
        <v>159</v>
      </c>
      <c r="L8" s="4" t="s">
        <v>160</v>
      </c>
    </row>
    <row r="9" customFormat="false" ht="18" hidden="false" customHeight="true" outlineLevel="0" collapsed="false">
      <c r="A9" s="10" t="s">
        <v>161</v>
      </c>
      <c r="B9" s="10" t="s">
        <v>60</v>
      </c>
      <c r="C9" s="19" t="str">
        <f aca="false">IFERROR(VLOOKUP(B9,Stammdaten!$A$4:$B$200,2,0),"-")</f>
        <v>Wasserwaage 120 cm</v>
      </c>
      <c r="D9" s="10" t="s">
        <v>162</v>
      </c>
      <c r="E9" s="10" t="n">
        <v>24</v>
      </c>
      <c r="F9" s="11" t="s">
        <v>163</v>
      </c>
      <c r="G9" s="25" t="n">
        <f aca="false">IFERROR(EDATE(F9,E9),"-")</f>
        <v>46034</v>
      </c>
      <c r="H9" s="10" t="s">
        <v>158</v>
      </c>
      <c r="I9" s="12" t="n">
        <v>30</v>
      </c>
      <c r="J9" s="20" t="str">
        <f aca="true">IFERROR(IF(G9&lt;TODAY(),"🔴 Überfällig",IF(G9-TODAY()&lt;=30,"🟡 Demnächst","🟢 OK")),"-")</f>
        <v>🔴 Überfällig</v>
      </c>
      <c r="K9" s="10" t="s">
        <v>164</v>
      </c>
      <c r="L9" s="10"/>
    </row>
    <row r="10" customFormat="false" ht="18" hidden="false" customHeight="true" outlineLevel="0" collapsed="false">
      <c r="A10" s="4" t="s">
        <v>165</v>
      </c>
      <c r="B10" s="4" t="s">
        <v>66</v>
      </c>
      <c r="C10" s="17" t="str">
        <f aca="false">IFERROR(VLOOKUP(B10,Stammdaten!$A$4:$B$200,2,0),"-")</f>
        <v>Steckschlüsselsatz</v>
      </c>
      <c r="D10" s="4" t="s">
        <v>166</v>
      </c>
      <c r="E10" s="4" t="n">
        <v>24</v>
      </c>
      <c r="F10" s="5" t="s">
        <v>167</v>
      </c>
      <c r="G10" s="24" t="n">
        <f aca="false">IFERROR(EDATE(F10,E10),"-")</f>
        <v>46109</v>
      </c>
      <c r="H10" s="4" t="s">
        <v>158</v>
      </c>
      <c r="I10" s="6" t="n">
        <v>25</v>
      </c>
      <c r="J10" s="18" t="str">
        <f aca="true">IFERROR(IF(G10&lt;TODAY(),"🔴 Überfällig",IF(G10-TODAY()&lt;=30,"🟡 Demnächst","🟢 OK")),"-")</f>
        <v>🔴 Überfällig</v>
      </c>
      <c r="K10" s="4" t="s">
        <v>168</v>
      </c>
      <c r="L10" s="4"/>
    </row>
    <row r="11" customFormat="false" ht="18" hidden="false" customHeight="true" outlineLevel="0" collapsed="false">
      <c r="A11" s="10" t="s">
        <v>169</v>
      </c>
      <c r="B11" s="10" t="s">
        <v>72</v>
      </c>
      <c r="C11" s="19" t="str">
        <f aca="false">IFERROR(VLOOKUP(B11,Stammdaten!$A$4:$B$200,2,0),"-")</f>
        <v>Kompressor 50L</v>
      </c>
      <c r="D11" s="10" t="s">
        <v>170</v>
      </c>
      <c r="E11" s="10" t="n">
        <v>12</v>
      </c>
      <c r="F11" s="11" t="s">
        <v>171</v>
      </c>
      <c r="G11" s="25" t="n">
        <f aca="false">IFERROR(EDATE(F11,E11),"-")</f>
        <v>45839</v>
      </c>
      <c r="H11" s="10" t="s">
        <v>172</v>
      </c>
      <c r="I11" s="12" t="n">
        <v>220</v>
      </c>
      <c r="J11" s="20" t="str">
        <f aca="true">IFERROR(IF(G11&lt;TODAY(),"🔴 Überfällig",IF(G11-TODAY()&lt;=30,"🟡 Demnächst","🟢 OK")),"-")</f>
        <v>🔴 Überfällig</v>
      </c>
      <c r="K11" s="10" t="s">
        <v>173</v>
      </c>
      <c r="L11" s="10" t="s">
        <v>174</v>
      </c>
    </row>
    <row r="14" customFormat="false" ht="15" hidden="false" customHeight="true" outlineLevel="0" collapsed="false">
      <c r="A14" s="21" t="s">
        <v>175</v>
      </c>
      <c r="B14" s="21"/>
      <c r="C14" s="21"/>
      <c r="D14" s="21"/>
      <c r="E14" s="21"/>
    </row>
    <row r="15" customFormat="false" ht="15" hidden="false" customHeight="false" outlineLevel="0" collapsed="false">
      <c r="A15" s="26" t="s">
        <v>176</v>
      </c>
      <c r="B15" s="27" t="n">
        <f aca="false">COUNTIF(J4:J200,"🔴 Überfällig")</f>
        <v>8</v>
      </c>
    </row>
    <row r="16" customFormat="false" ht="15" hidden="false" customHeight="false" outlineLevel="0" collapsed="false">
      <c r="A16" s="26" t="s">
        <v>177</v>
      </c>
      <c r="B16" s="27" t="n">
        <f aca="false">COUNTIF(J4:J200,"🟡 Demnächst")</f>
        <v>0</v>
      </c>
    </row>
    <row r="17" customFormat="false" ht="15" hidden="false" customHeight="false" outlineLevel="0" collapsed="false">
      <c r="A17" s="26" t="s">
        <v>178</v>
      </c>
      <c r="B17" s="27" t="n">
        <f aca="false">COUNTIF(J4:J200,"🟢 OK")</f>
        <v>0</v>
      </c>
    </row>
    <row r="18" customFormat="false" ht="15" hidden="false" customHeight="false" outlineLevel="0" collapsed="false">
      <c r="A18" s="26" t="s">
        <v>179</v>
      </c>
      <c r="B18" s="27" t="n">
        <f aca="false">IFERROR(SUM(I4:I200),0)</f>
        <v>845</v>
      </c>
    </row>
  </sheetData>
  <mergeCells count="3">
    <mergeCell ref="A1:L1"/>
    <mergeCell ref="A2:L2"/>
    <mergeCell ref="A14:E14"/>
  </mergeCells>
  <conditionalFormatting sqref="J4:J200">
    <cfRule type="expression" priority="2" aboveAverage="0" equalAverage="0" bottom="0" percent="0" rank="0" text="" dxfId="0">
      <formula>LEFT(J4,1)="🔴"</formula>
    </cfRule>
    <cfRule type="expression" priority="3" aboveAverage="0" equalAverage="0" bottom="0" percent="0" rank="0" text="" dxfId="2">
      <formula>LEFT(J4,1)="🟡"</formula>
    </cfRule>
    <cfRule type="expression" priority="4" aboveAverage="0" equalAverage="0" bottom="0" percent="0" rank="0" text="" dxfId="1">
      <formula>LEFT(J4,1)="🟢"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J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0" min="1" style="0" width="22"/>
  </cols>
  <sheetData>
    <row r="1" customFormat="false" ht="33.75" hidden="false" customHeight="true" outlineLevel="0" collapsed="false">
      <c r="A1" s="1" t="s">
        <v>180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181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1.75" hidden="false" customHeight="true" outlineLevel="0" collapsed="false">
      <c r="A4" s="28" t="s">
        <v>182</v>
      </c>
      <c r="B4" s="28"/>
      <c r="C4" s="28"/>
      <c r="D4" s="28"/>
      <c r="E4" s="28" t="s">
        <v>183</v>
      </c>
      <c r="F4" s="28"/>
      <c r="G4" s="28" t="s">
        <v>184</v>
      </c>
      <c r="H4" s="28"/>
      <c r="I4" s="28"/>
    </row>
    <row r="5" customFormat="false" ht="18" hidden="false" customHeight="true" outlineLevel="0" collapsed="false">
      <c r="A5" s="29" t="s">
        <v>185</v>
      </c>
      <c r="B5" s="30" t="n">
        <f aca="false">COUNTA(Stammdaten!A4:A200)</f>
        <v>9</v>
      </c>
    </row>
    <row r="6" customFormat="false" ht="18" hidden="false" customHeight="true" outlineLevel="0" collapsed="false">
      <c r="A6" s="31" t="s">
        <v>186</v>
      </c>
      <c r="B6" s="32" t="n">
        <f aca="false">COUNTIF(Stammdaten!M4:M200,"Verfügbar")</f>
        <v>5</v>
      </c>
    </row>
    <row r="7" customFormat="false" ht="18" hidden="false" customHeight="true" outlineLevel="0" collapsed="false">
      <c r="A7" s="29" t="s">
        <v>187</v>
      </c>
      <c r="B7" s="30" t="n">
        <f aca="false">COUNTIF(Stammdaten!M4:M200,"Ausgeliehen")</f>
        <v>1</v>
      </c>
    </row>
    <row r="8" customFormat="false" ht="18" hidden="false" customHeight="true" outlineLevel="0" collapsed="false">
      <c r="A8" s="31" t="s">
        <v>188</v>
      </c>
      <c r="B8" s="32" t="n">
        <f aca="false">COUNTIF(Stammdaten!M4:M200,"Wartung")</f>
        <v>1</v>
      </c>
    </row>
    <row r="9" customFormat="false" ht="18" hidden="false" customHeight="true" outlineLevel="0" collapsed="false">
      <c r="A9" s="29" t="s">
        <v>189</v>
      </c>
      <c r="B9" s="30" t="n">
        <f aca="false">COUNTIF(Stammdaten!M4:M200,"Defekt")</f>
        <v>1</v>
      </c>
    </row>
    <row r="10" customFormat="false" ht="18" hidden="false" customHeight="true" outlineLevel="0" collapsed="false">
      <c r="A10" s="31" t="s">
        <v>190</v>
      </c>
      <c r="B10" s="32" t="n">
        <f aca="false">COUNTIF(Stammdaten!M4:M200,"Ausgesondert")</f>
        <v>0</v>
      </c>
    </row>
    <row r="11" customFormat="false" ht="15" hidden="false" customHeight="false" outlineLevel="0" collapsed="false">
      <c r="D11" s="29" t="s">
        <v>191</v>
      </c>
      <c r="E11" s="33" t="n">
        <f aca="false">IFERROR(SUM(Stammdaten!I4:I200),0)</f>
        <v>2315</v>
      </c>
    </row>
    <row r="12" customFormat="false" ht="15" hidden="false" customHeight="false" outlineLevel="0" collapsed="false">
      <c r="D12" s="31" t="s">
        <v>192</v>
      </c>
      <c r="E12" s="34" t="n">
        <f aca="false">IFERROR(SUM(Stammdaten!L4:L200),0)</f>
        <v>136.7125</v>
      </c>
    </row>
    <row r="13" customFormat="false" ht="15" hidden="false" customHeight="false" outlineLevel="0" collapsed="false">
      <c r="D13" s="29" t="s">
        <v>193</v>
      </c>
      <c r="E13" s="33" t="n">
        <f aca="false">IFERROR(SUM(Stammdaten!I4:I200)-SUM(Stammdaten!L4:L200),0)</f>
        <v>2178.2875</v>
      </c>
    </row>
    <row r="14" customFormat="false" ht="15" hidden="false" customHeight="false" outlineLevel="0" collapsed="false">
      <c r="D14" s="31" t="s">
        <v>194</v>
      </c>
      <c r="E14" s="34" t="n">
        <f aca="false">IFERROR(SUMPRODUCT((Stammdaten!I4:I200)/(IF(Stammdaten!J4:J200=0,1,Stammdaten!J4:J200))*(Stammdaten!J4:J200&gt;0)),0)</f>
        <v>371.291666666667</v>
      </c>
    </row>
    <row r="15" customFormat="false" ht="15" hidden="false" customHeight="false" outlineLevel="0" collapsed="false">
      <c r="D15" s="29" t="s">
        <v>195</v>
      </c>
      <c r="E15" s="33" t="n">
        <f aca="false">IFERROR(SUM(Stammdaten!L4:L200)/COUNTA(Stammdaten!A4:A200),0)</f>
        <v>15.1902777777778</v>
      </c>
    </row>
    <row r="16" customFormat="false" ht="15" hidden="false" customHeight="false" outlineLevel="0" collapsed="false">
      <c r="D16" s="31" t="s">
        <v>196</v>
      </c>
      <c r="E16" s="35" t="n">
        <f aca="false">IFERROR(SUM(Stammdaten!L4:L200)/SUM(Stammdaten!I4:I200),0)</f>
        <v>0.0590550755939525</v>
      </c>
    </row>
    <row r="17" customFormat="false" ht="18" hidden="false" customHeight="true" outlineLevel="0" collapsed="false">
      <c r="G17" s="29" t="s">
        <v>197</v>
      </c>
      <c r="H17" s="30" t="n">
        <f aca="false">COUNTIF(Wartungsplan!J4:J200,"🔴 Überfällig")</f>
        <v>8</v>
      </c>
    </row>
    <row r="18" customFormat="false" ht="18" hidden="false" customHeight="true" outlineLevel="0" collapsed="false">
      <c r="G18" s="31" t="s">
        <v>198</v>
      </c>
      <c r="H18" s="32" t="n">
        <f aca="false">COUNTIF(Wartungsplan!J4:J200,"🟡 Demnächst")</f>
        <v>0</v>
      </c>
    </row>
    <row r="19" customFormat="false" ht="12" hidden="false" customHeight="true" outlineLevel="0" collapsed="false">
      <c r="G19" s="29" t="s">
        <v>199</v>
      </c>
      <c r="H19" s="30" t="n">
        <f aca="false">COUNTIF(Wartungsplan!J4:J200,"🟢 OK")</f>
        <v>0</v>
      </c>
    </row>
    <row r="20" customFormat="false" ht="21.75" hidden="false" customHeight="true" outlineLevel="0" collapsed="false">
      <c r="A20" s="36" t="s">
        <v>200</v>
      </c>
      <c r="B20" s="36"/>
      <c r="C20" s="36"/>
      <c r="D20" s="36"/>
      <c r="E20" s="36"/>
      <c r="F20" s="36"/>
      <c r="G20" s="31" t="s">
        <v>201</v>
      </c>
      <c r="H20" s="34" t="n">
        <f aca="false">IFERROR(SUM(Wartungsplan!I4:I200),0)</f>
        <v>845</v>
      </c>
    </row>
    <row r="21" customFormat="false" ht="18" hidden="false" customHeight="true" outlineLevel="0" collapsed="false">
      <c r="A21" s="37" t="s">
        <v>202</v>
      </c>
      <c r="B21" s="38" t="n">
        <v>120</v>
      </c>
      <c r="C21" s="39" t="s">
        <v>203</v>
      </c>
      <c r="G21" s="29" t="s">
        <v>204</v>
      </c>
      <c r="H21" s="30" t="n">
        <f aca="false">COUNTIF('Ausleih-Protokoll'!K4:K200,"⚠️ Überfällig")</f>
        <v>0</v>
      </c>
    </row>
    <row r="22" customFormat="false" ht="18" hidden="false" customHeight="true" outlineLevel="0" collapsed="false">
      <c r="A22" s="37" t="s">
        <v>205</v>
      </c>
      <c r="B22" s="38" t="n">
        <v>320</v>
      </c>
      <c r="C22" s="39" t="s">
        <v>206</v>
      </c>
      <c r="G22" s="31" t="s">
        <v>207</v>
      </c>
      <c r="H22" s="32" t="n">
        <f aca="false">COUNTIF('Ausleih-Protokoll'!K4:K200,"Offen")</f>
        <v>3</v>
      </c>
    </row>
    <row r="23" customFormat="false" ht="18" hidden="false" customHeight="true" outlineLevel="0" collapsed="false">
      <c r="A23" s="37" t="s">
        <v>208</v>
      </c>
      <c r="B23" s="38" t="n">
        <v>3</v>
      </c>
      <c r="C23" s="39" t="s">
        <v>209</v>
      </c>
    </row>
    <row r="24" customFormat="false" ht="18" hidden="false" customHeight="true" outlineLevel="0" collapsed="false">
      <c r="A24" s="37" t="s">
        <v>210</v>
      </c>
      <c r="B24" s="38" t="n">
        <v>7</v>
      </c>
      <c r="C24" s="39" t="s">
        <v>209</v>
      </c>
    </row>
    <row r="25" customFormat="false" ht="21.75" hidden="false" customHeight="true" outlineLevel="0" collapsed="false">
      <c r="A25" s="28" t="s">
        <v>211</v>
      </c>
      <c r="B25" s="28"/>
      <c r="C25" s="28"/>
    </row>
    <row r="26" customFormat="false" ht="18" hidden="false" customHeight="true" outlineLevel="0" collapsed="false">
      <c r="A26" s="40" t="s">
        <v>191</v>
      </c>
      <c r="B26" s="41" t="n">
        <f aca="false">B21*B22</f>
        <v>38400</v>
      </c>
    </row>
    <row r="27" customFormat="false" ht="18" hidden="false" customHeight="true" outlineLevel="0" collapsed="false">
      <c r="A27" s="29" t="s">
        <v>212</v>
      </c>
      <c r="B27" s="42" t="n">
        <f aca="false">B25*(1-B23/B24)</f>
        <v>0</v>
      </c>
    </row>
    <row r="28" customFormat="false" ht="18" hidden="false" customHeight="true" outlineLevel="0" collapsed="false">
      <c r="A28" s="40" t="s">
        <v>213</v>
      </c>
      <c r="B28" s="41" t="n">
        <f aca="false">IFERROR(B25/B24,0)</f>
        <v>0</v>
      </c>
    </row>
    <row r="29" customFormat="false" ht="18" hidden="false" customHeight="true" outlineLevel="0" collapsed="false">
      <c r="A29" s="29" t="s">
        <v>193</v>
      </c>
      <c r="B29" s="42" t="n">
        <f aca="false">B25-B26</f>
        <v>-38400</v>
      </c>
    </row>
    <row r="30" customFormat="false" ht="18" hidden="false" customHeight="true" outlineLevel="0" collapsed="false">
      <c r="A30" s="40" t="s">
        <v>214</v>
      </c>
      <c r="B30" s="43" t="n">
        <f aca="false">MAX(B24-B23,0)</f>
        <v>4</v>
      </c>
    </row>
    <row r="31" customFormat="false" ht="18" hidden="false" customHeight="true" outlineLevel="0" collapsed="false">
      <c r="A31" s="29" t="s">
        <v>196</v>
      </c>
      <c r="B31" s="44" t="n">
        <f aca="false">IFERROR(B26/B25,0)</f>
        <v>0</v>
      </c>
    </row>
    <row r="33" customFormat="false" ht="18" hidden="false" customHeight="true" outlineLevel="0" collapsed="false">
      <c r="A33" s="45" t="s">
        <v>215</v>
      </c>
      <c r="B33" s="45"/>
      <c r="C33" s="45"/>
      <c r="D33" s="45"/>
      <c r="E33" s="45"/>
      <c r="F33" s="45"/>
    </row>
    <row r="35" customFormat="false" ht="12" hidden="false" customHeight="true" outlineLevel="0" collapsed="false"/>
    <row r="36" customFormat="false" ht="21.75" hidden="false" customHeight="true" outlineLevel="0" collapsed="false">
      <c r="A36" s="36" t="s">
        <v>216</v>
      </c>
      <c r="B36" s="36"/>
      <c r="C36" s="36"/>
      <c r="D36" s="36"/>
      <c r="E36" s="36"/>
      <c r="F36" s="36"/>
    </row>
    <row r="37" customFormat="false" ht="15" hidden="false" customHeight="false" outlineLevel="0" collapsed="false">
      <c r="A37" s="46" t="s">
        <v>4</v>
      </c>
      <c r="B37" s="46" t="s">
        <v>217</v>
      </c>
      <c r="C37" s="46" t="s">
        <v>218</v>
      </c>
      <c r="D37" s="46" t="s">
        <v>219</v>
      </c>
      <c r="E37" s="46" t="s">
        <v>220</v>
      </c>
      <c r="F37" s="46" t="s">
        <v>221</v>
      </c>
    </row>
    <row r="38" customFormat="false" ht="18" hidden="false" customHeight="true" outlineLevel="0" collapsed="false">
      <c r="A38" s="47" t="s">
        <v>18</v>
      </c>
      <c r="B38" s="48" t="n">
        <f aca="false">COUNTIF(Stammdaten!$C$4:$C$200,A38)</f>
        <v>3</v>
      </c>
      <c r="C38" s="49" t="n">
        <f aca="false">SUMIF(Stammdaten!$C$4:$C$200,A38,Stammdaten!$I$4:$I$200)</f>
        <v>880</v>
      </c>
      <c r="D38" s="49" t="n">
        <f aca="false">SUMIF(Stammdaten!$C$4:$C$200,A38,Stammdaten!$L$4:$L$200)</f>
        <v>-184.4</v>
      </c>
      <c r="E38" s="50" t="n">
        <f aca="false">IFERROR(C38-D38,0)</f>
        <v>1064.4</v>
      </c>
      <c r="F38" s="51" t="n">
        <f aca="false">IFERROR(C38/SUM($C$38:$C$43),0)</f>
        <v>0.380129589632829</v>
      </c>
    </row>
    <row r="39" customFormat="false" ht="18" hidden="false" customHeight="true" outlineLevel="0" collapsed="false">
      <c r="A39" s="52" t="s">
        <v>35</v>
      </c>
      <c r="B39" s="53" t="n">
        <f aca="false">COUNTIF(Stammdaten!$C$4:$C$200,A39)</f>
        <v>3</v>
      </c>
      <c r="C39" s="54" t="n">
        <f aca="false">SUMIF(Stammdaten!$C$4:$C$200,A39,Stammdaten!$I$4:$I$200)</f>
        <v>405</v>
      </c>
      <c r="D39" s="54" t="n">
        <f aca="false">SUMIF(Stammdaten!$C$4:$C$200,A39,Stammdaten!$L$4:$L$200)</f>
        <v>78.1125</v>
      </c>
      <c r="E39" s="55" t="n">
        <f aca="false">IFERROR(C39-D39,0)</f>
        <v>326.8875</v>
      </c>
      <c r="F39" s="56" t="n">
        <f aca="false">IFERROR(C39/SUM($C$38:$C$43),0)</f>
        <v>0.174946004319654</v>
      </c>
    </row>
    <row r="40" customFormat="false" ht="18" hidden="false" customHeight="true" outlineLevel="0" collapsed="false">
      <c r="A40" s="47" t="s">
        <v>43</v>
      </c>
      <c r="B40" s="48" t="n">
        <f aca="false">COUNTIF(Stammdaten!$C$4:$C$200,A40)</f>
        <v>1</v>
      </c>
      <c r="C40" s="49" t="n">
        <f aca="false">SUMIF(Stammdaten!$C$4:$C$200,A40,Stammdaten!$I$4:$I$200)</f>
        <v>550</v>
      </c>
      <c r="D40" s="49" t="n">
        <f aca="false">SUMIF(Stammdaten!$C$4:$C$200,A40,Stammdaten!$L$4:$L$200)</f>
        <v>165</v>
      </c>
      <c r="E40" s="50" t="n">
        <f aca="false">IFERROR(C40-D40,0)</f>
        <v>385</v>
      </c>
      <c r="F40" s="51" t="n">
        <f aca="false">IFERROR(C40/SUM($C$38:$C$43),0)</f>
        <v>0.237580993520518</v>
      </c>
    </row>
    <row r="41" customFormat="false" ht="18" hidden="false" customHeight="true" outlineLevel="0" collapsed="false">
      <c r="A41" s="52" t="s">
        <v>74</v>
      </c>
      <c r="B41" s="53" t="n">
        <f aca="false">COUNTIF(Stammdaten!$C$4:$C$200,A41)</f>
        <v>1</v>
      </c>
      <c r="C41" s="54" t="n">
        <f aca="false">SUMIF(Stammdaten!$C$4:$C$200,A41,Stammdaten!$I$4:$I$200)</f>
        <v>480</v>
      </c>
      <c r="D41" s="54" t="n">
        <f aca="false">SUMIF(Stammdaten!$C$4:$C$200,A41,Stammdaten!$L$4:$L$200)</f>
        <v>78</v>
      </c>
      <c r="E41" s="55" t="n">
        <f aca="false">IFERROR(C41-D41,0)</f>
        <v>402</v>
      </c>
      <c r="F41" s="56" t="n">
        <f aca="false">IFERROR(C41/SUM($C$38:$C$43),0)</f>
        <v>0.207343412526998</v>
      </c>
    </row>
    <row r="42" customFormat="false" ht="18" hidden="false" customHeight="true" outlineLevel="0" collapsed="false">
      <c r="A42" s="47" t="s">
        <v>222</v>
      </c>
      <c r="B42" s="48" t="n">
        <f aca="false">COUNTIF(Stammdaten!$C$4:$C$200,A42)</f>
        <v>0</v>
      </c>
      <c r="C42" s="49" t="n">
        <f aca="false">SUMIF(Stammdaten!$C$4:$C$200,A42,Stammdaten!$I$4:$I$200)</f>
        <v>0</v>
      </c>
      <c r="D42" s="49" t="n">
        <f aca="false">SUMIF(Stammdaten!$C$4:$C$200,A42,Stammdaten!$L$4:$L$200)</f>
        <v>0</v>
      </c>
      <c r="E42" s="50" t="n">
        <f aca="false">IFERROR(C42-D42,0)</f>
        <v>0</v>
      </c>
      <c r="F42" s="51" t="n">
        <f aca="false">IFERROR(C42/SUM($C$38:$C$43),0)</f>
        <v>0</v>
      </c>
    </row>
    <row r="43" customFormat="false" ht="18" hidden="false" customHeight="true" outlineLevel="0" collapsed="false">
      <c r="A43" s="52" t="s">
        <v>223</v>
      </c>
      <c r="B43" s="53" t="n">
        <f aca="false">COUNTIF(Stammdaten!$C$4:$C$200,A43)</f>
        <v>0</v>
      </c>
      <c r="C43" s="54" t="n">
        <f aca="false">SUMIF(Stammdaten!$C$4:$C$200,A43,Stammdaten!$I$4:$I$200)</f>
        <v>0</v>
      </c>
      <c r="D43" s="54" t="n">
        <f aca="false">SUMIF(Stammdaten!$C$4:$C$200,A43,Stammdaten!$L$4:$L$200)</f>
        <v>0</v>
      </c>
      <c r="E43" s="55" t="n">
        <f aca="false">IFERROR(C43-D43,0)</f>
        <v>0</v>
      </c>
      <c r="F43" s="56" t="n">
        <f aca="false">IFERROR(C43/SUM($C$38:$C$43),0)</f>
        <v>0</v>
      </c>
    </row>
    <row r="44" customFormat="false" ht="18" hidden="false" customHeight="true" outlineLevel="0" collapsed="false">
      <c r="A44" s="3" t="s">
        <v>224</v>
      </c>
      <c r="B44" s="3" t="n">
        <f aca="false">SUM(B38:B43)</f>
        <v>8</v>
      </c>
      <c r="C44" s="57" t="n">
        <f aca="false">SUM(C38:C43)</f>
        <v>2315</v>
      </c>
      <c r="D44" s="57" t="n">
        <f aca="false">SUM(D38:D43)</f>
        <v>136.7125</v>
      </c>
      <c r="E44" s="57" t="n">
        <f aca="false">SUM(E38:E43)</f>
        <v>2178.2875</v>
      </c>
      <c r="F44" s="58" t="n">
        <f aca="false">SUM(F38:F43)</f>
        <v>1</v>
      </c>
    </row>
    <row r="46" customFormat="false" ht="15.75" hidden="false" customHeight="true" outlineLevel="0" collapsed="false">
      <c r="A46" s="59" t="s">
        <v>225</v>
      </c>
      <c r="B46" s="60" t="s">
        <v>226</v>
      </c>
      <c r="C46" s="61" t="s">
        <v>227</v>
      </c>
      <c r="D46" s="62" t="s">
        <v>228</v>
      </c>
    </row>
  </sheetData>
  <mergeCells count="9">
    <mergeCell ref="A1:J1"/>
    <mergeCell ref="A2:J2"/>
    <mergeCell ref="A4:D4"/>
    <mergeCell ref="E4:F4"/>
    <mergeCell ref="G4:I4"/>
    <mergeCell ref="A20:F20"/>
    <mergeCell ref="A25:C25"/>
    <mergeCell ref="A33:F33"/>
    <mergeCell ref="A36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2026-04-13T08:03:59Z</dcterms:created>
  <dc:creator>openpyxl</dc:creator>
  <dc:description/>
  <dc:language>en-US</dc:language>
  <cp:lastModifiedBy/>
  <dcterms:modified xsi:type="dcterms:W3CDTF">2026-04-13T08:03:59Z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