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inseszins-Rechner" sheetId="1" state="visible" r:id="rId2"/>
    <sheet name="Jahresverlauf" sheetId="2" state="visible" r:id="rId3"/>
    <sheet name="Szenarien" sheetId="3" state="visible" r:id="rId4"/>
    <sheet name="Formeln &amp; Hilf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<sst xmlns="http://schemas.openxmlformats.org/spreadsheetml/2006/main" count="109" uniqueCount="98">
  <si>
    <t xml:space="preserve">Zinseszins-Rechner</t>
  </si>
  <si>
    <t xml:space="preserve">Kapitalentwicklung mit Einmalanlage und Sparplan</t>
  </si>
  <si>
    <t xml:space="preserve">Eingaben</t>
  </si>
  <si>
    <t xml:space="preserve">Verwendete Formeln</t>
  </si>
  <si>
    <t xml:space="preserve">Startkapital (K₀)</t>
  </si>
  <si>
    <t xml:space="preserve">Einmalanlage:</t>
  </si>
  <si>
    <t xml:space="preserve">K0*(1+p/m)^(m*n)</t>
  </si>
  <si>
    <t xml:space="preserve">Zinssatz p.a.</t>
  </si>
  <si>
    <t xml:space="preserve">Sparplan (Periode):</t>
  </si>
  <si>
    <t xml:space="preserve">K0*(1+p/m)^(m*n) + R*((1+p/m)^(m*n)-1)/(p/m)</t>
  </si>
  <si>
    <t xml:space="preserve">Laufzeit (Jahre)</t>
  </si>
  <si>
    <t xml:space="preserve">ZW-Funktion:</t>
  </si>
  <si>
    <t xml:space="preserve">FV(p/m; m*n; -R; -K0; 0)</t>
  </si>
  <si>
    <t xml:space="preserve">Zinsperioden pro Jahr (m)</t>
  </si>
  <si>
    <t xml:space="preserve">Zinsertrag:</t>
  </si>
  <si>
    <t xml:space="preserve">Endkapital - Einzahlungen gesamt</t>
  </si>
  <si>
    <t xml:space="preserve">Einzahlung pro Periode</t>
  </si>
  <si>
    <t xml:space="preserve">Einzahlungen gesamt:</t>
  </si>
  <si>
    <t xml:space="preserve">K0 + R * n * m</t>
  </si>
  <si>
    <t xml:space="preserve">Ergebnisse</t>
  </si>
  <si>
    <t xml:space="preserve">Legende (Farbkodierung)</t>
  </si>
  <si>
    <t xml:space="preserve">Endkapital – Einmalanlage</t>
  </si>
  <si>
    <t xml:space="preserve">Eingabezellen (blau = Wert änderbar)</t>
  </si>
  <si>
    <t xml:space="preserve">Endkapital – mit Sparplan</t>
  </si>
  <si>
    <t xml:space="preserve">Ergebniszellen (Formeln)</t>
  </si>
  <si>
    <t xml:space="preserve">Endkapital – ZW-Funktion (Probe)</t>
  </si>
  <si>
    <t xml:space="preserve">Beschriftungsfelder</t>
  </si>
  <si>
    <t xml:space="preserve">Einzahlungen gesamt</t>
  </si>
  <si>
    <t xml:space="preserve">Zinsertrag</t>
  </si>
  <si>
    <t xml:space="preserve">Hinweis: Gelb = Eingabezellen (veränderbar). Einzahlung pro Periode am Periodenende (ZW-Argument 0). Bei 0 % Zinssatz greift Sonderformel ohne Division.</t>
  </si>
  <si>
    <t xml:space="preserve">Jahresverlauf – Kapitalentwicklung</t>
  </si>
  <si>
    <t xml:space="preserve">Werte beziehen sich auf die Eingaben im Blatt »Zinseszins-Rechner«</t>
  </si>
  <si>
    <t xml:space="preserve">Jahr</t>
  </si>
  <si>
    <t xml:space="preserve">Einmalanlage</t>
  </si>
  <si>
    <t xml:space="preserve">Einzahl. kum.</t>
  </si>
  <si>
    <t xml:space="preserve">Sparplan Endkap.</t>
  </si>
  <si>
    <t xml:space="preserve">Szenarien-Vergleich – Drei Rendite-Annahmen</t>
  </si>
  <si>
    <t xml:space="preserve">Startkapital, Laufzeit und Sparrate aus dem Rechner-Blatt – nur die Zinssätze variieren</t>
  </si>
  <si>
    <t xml:space="preserve">Annahmen (aus Rechner-Blatt)</t>
  </si>
  <si>
    <t xml:space="preserve">Startkapital</t>
  </si>
  <si>
    <t xml:space="preserve">Laufzeit</t>
  </si>
  <si>
    <t xml:space="preserve">Zinsperioden / Jahr</t>
  </si>
  <si>
    <t xml:space="preserve">Einzahlung / Periode</t>
  </si>
  <si>
    <t xml:space="preserve">Zinssätze (Szenarien):</t>
  </si>
  <si>
    <t xml:space="preserve">Ergebnisse je Szenario</t>
  </si>
  <si>
    <t xml:space="preserve">Endkap. 3 %</t>
  </si>
  <si>
    <t xml:space="preserve">Endkap. 5 %</t>
  </si>
  <si>
    <t xml:space="preserve">Endkap. 7 %</t>
  </si>
  <si>
    <t xml:space="preserve">Zinsertrag 3 %</t>
  </si>
  <si>
    <t xml:space="preserve">Zinsertrag 5 %</t>
  </si>
  <si>
    <t xml:space="preserve">Zinsertrag 7 %</t>
  </si>
  <si>
    <t xml:space="preserve">Formeln &amp; Erklärungen</t>
  </si>
  <si>
    <t xml:space="preserve">Grundformel – Einmalanlage</t>
  </si>
  <si>
    <t xml:space="preserve">Formel</t>
  </si>
  <si>
    <t xml:space="preserve">K_n = K_0 * (1 + p/m)^(m*n)</t>
  </si>
  <si>
    <t xml:space="preserve">Excel</t>
  </si>
  <si>
    <t xml:space="preserve">B2*(1+B3/B5)^(B4*B5)  [in Excel: =B2*(1+B3/B5)^(B4*B5)]</t>
  </si>
  <si>
    <t xml:space="preserve">K_0</t>
  </si>
  <si>
    <t xml:space="preserve">Startkapital (Anfangskapital)</t>
  </si>
  <si>
    <t xml:space="preserve">p</t>
  </si>
  <si>
    <t xml:space="preserve">Jahreszins als Dezimalzahl (5 % → 0,05)</t>
  </si>
  <si>
    <t xml:space="preserve">m</t>
  </si>
  <si>
    <t xml:space="preserve">Anzahl Zinsperioden pro Jahr (1 / 4 / 12)</t>
  </si>
  <si>
    <t xml:space="preserve">n</t>
  </si>
  <si>
    <t xml:space="preserve">Laufzeit in Jahren</t>
  </si>
  <si>
    <t xml:space="preserve">K_n</t>
  </si>
  <si>
    <t xml:space="preserve">Endkapital nach n Jahren</t>
  </si>
  <si>
    <t xml:space="preserve">Sparplan-Formel</t>
  </si>
  <si>
    <t xml:space="preserve">K_n = K_0*(1+p/m)^(m*n) + R*((1+p/m)^(m*n)-1)/(p/m)</t>
  </si>
  <si>
    <t xml:space="preserve">WENN(B3=0; B2+B6*B4*B5; B2*(1+B3/B5)^(B4*B5)+B6*(((1+B3/B5)^(B4*B5)-1)/(B3/B5)))</t>
  </si>
  <si>
    <t xml:space="preserve">R</t>
  </si>
  <si>
    <t xml:space="preserve">Regelmäßige Einzahlung pro Periode</t>
  </si>
  <si>
    <t xml:space="preserve">Hinweis</t>
  </si>
  <si>
    <t xml:space="preserve">Zahlung am Periodenende. Bei Periodenbeginn: letztes ZW-Argument = 1</t>
  </si>
  <si>
    <t xml:space="preserve">ZW-Funktion (Excel-Finanzfunktion)</t>
  </si>
  <si>
    <t xml:space="preserve">Syntax</t>
  </si>
  <si>
    <t xml:space="preserve">ZW(Zins; Zzr; Rmz; Bw; F)</t>
  </si>
  <si>
    <t xml:space="preserve">Zins</t>
  </si>
  <si>
    <t xml:space="preserve">Zinssatz pro Periode → p/m</t>
  </si>
  <si>
    <t xml:space="preserve">Zzr</t>
  </si>
  <si>
    <t xml:space="preserve">Anzahl Perioden → m·n</t>
  </si>
  <si>
    <t xml:space="preserve">Rmz</t>
  </si>
  <si>
    <t xml:space="preserve">Zahlung pro Periode → −R (negativ = Auszahlung)</t>
  </si>
  <si>
    <t xml:space="preserve">Bw</t>
  </si>
  <si>
    <t xml:space="preserve">Barwert / Startkapital → −K_0</t>
  </si>
  <si>
    <t xml:space="preserve">F</t>
  </si>
  <si>
    <t xml:space="preserve">0 = Periodenende  |  1 = Periodenbeginn</t>
  </si>
  <si>
    <t xml:space="preserve">Häufige Fehler</t>
  </si>
  <si>
    <t xml:space="preserve">Fehler</t>
  </si>
  <si>
    <t xml:space="preserve">5 % als »5« eingeben statt »0,05« oder »5%«</t>
  </si>
  <si>
    <t xml:space="preserve">Exponent nur mit Jahren, Perioden vergessen</t>
  </si>
  <si>
    <t xml:space="preserve">Monatliche Sparrate bei jährlicher Perioden-Logik</t>
  </si>
  <si>
    <t xml:space="preserve">Kein Sonderfall für Zinssatz = 0 % (Division durch 0)</t>
  </si>
  <si>
    <t xml:space="preserve">Komma/Semikolon: deutsche Excel-Version braucht Semikolon</t>
  </si>
  <si>
    <t xml:space="preserve">Tipp</t>
  </si>
  <si>
    <t xml:space="preserve">Eingabezellen von Ergebniszellen trennen → leichter zu lesen</t>
  </si>
  <si>
    <t xml:space="preserve">Verlaufstabelle Jahr 0..n anlegen → Zinseszinseffekt sichtbar</t>
  </si>
  <si>
    <t xml:space="preserve">Diagramm auf Verlaufstabelle aufbauen → Kurve nach oben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</si>
</sst>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&quot; €&quot;"/>
    <numFmt numFmtId="166" formatCode="0.0%"/>
    <numFmt numFmtId="167" formatCode="0&quot; Jahre&quot;"/>
    <numFmt numFmtId="168" formatCode="0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2E5FAC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0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C"/>
        <bgColor rgb="FF4472C4"/>
      </patternFill>
    </fill>
    <fill>
      <patternFill patternType="solid">
        <fgColor rgb="FFEBF0FA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BF0FA"/>
      </patternFill>
    </fill>
    <fill>
      <patternFill patternType="solid">
        <fgColor rgb="FFE2EFDA"/>
        <bgColor rgb="FFEBF0FA"/>
      </patternFill>
    </fill>
    <fill>
      <patternFill patternType="solid">
        <fgColor rgb="FFFFFFFF"/>
        <bgColor rgb="FFF7F9FD"/>
      </patternFill>
    </fill>
    <fill>
      <patternFill patternType="solid">
        <fgColor rgb="FFF7F9FD"/>
        <bgColor rgb="FFFFFFFF"/>
      </patternFill>
    </fill>
    <fill>
      <patternFill patternType="solid">
        <fgColor rgb="FFD9E1F2"/>
        <bgColor rgb="FFD9D9D9"/>
      </patternFill>
    </fill>
    <fill>
      <patternFill patternType="solid">
        <fgColor rgb="FFFCE4D6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9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1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11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7A3C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7F9FD"/>
      <rgbColor rgb="FFEBF0FA"/>
      <rgbColor rgb="FF660066"/>
      <rgbColor rgb="FFFF8080"/>
      <rgbColor rgb="FF2E5FA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D9E1F2"/>
      <rgbColor rgb="FFFF99CC"/>
      <rgbColor rgb="FFCC99FF"/>
      <rgbColor rgb="FFFCE4D6"/>
      <rgbColor rgb="FF4472C4"/>
      <rgbColor rgb="FF33CCCC"/>
      <rgbColor rgb="FF99CC00"/>
      <rgbColor rgb="FFFFCC00"/>
      <rgbColor rgb="FFFF9900"/>
      <rgbColor rgb="FFFF6600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Kapitalentwicklung über die Jahre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Jahresverlauf!C4</c:f>
              <c:strCache>
                <c:ptCount val="1"/>
                <c:pt idx="0">
                  <c:v>Einmalanlage</c:v>
                </c:pt>
              </c:strCache>
            </c:strRef>
          </c:tx>
          <c:spPr>
            <a:solidFill>
              <a:srgbClr val="2e5fac"/>
            </a:solidFill>
            <a:ln w="20160">
              <a:solidFill>
                <a:srgbClr val="2e5fa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Jahresverlauf!$B$5:$B$35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Jahresverlauf!$C$5:$C$35</c:f>
              <c:numCache>
                <c:formatCode>General</c:formatCode>
                <c:ptCount val="31"/>
                <c:pt idx="0">
                  <c:v>10000</c:v>
                </c:pt>
                <c:pt idx="1">
                  <c:v>10511.6189788173</c:v>
                </c:pt>
                <c:pt idx="2">
                  <c:v>11049.4133555833</c:v>
                </c:pt>
                <c:pt idx="3">
                  <c:v>11614.7223133347</c:v>
                </c:pt>
                <c:pt idx="4">
                  <c:v>12208.9535502542</c:v>
                </c:pt>
                <c:pt idx="5">
                  <c:v>12833.5867850351</c:v>
                </c:pt>
                <c:pt idx="6">
                  <c:v>13490.1774415874</c:v>
                </c:pt>
                <c:pt idx="7">
                  <c:v>14180.3605222604</c:v>
                </c:pt>
                <c:pt idx="8">
                  <c:v>14905.8546792264</c:v>
                </c:pt>
                <c:pt idx="9">
                  <c:v>15668.466494165</c:v>
                </c:pt>
                <c:pt idx="10">
                  <c:v>16470.0949769028</c:v>
                </c:pt>
                <c:pt idx="11">
                  <c:v>17312.7362942135</c:v>
                </c:pt>
                <c:pt idx="12">
                  <c:v>18198.4887405515</c:v>
                </c:pt>
                <c:pt idx="13">
                  <c:v>19129.5579630974</c:v>
                </c:pt>
                <c:pt idx="14">
                  <c:v>20108.2624541281</c:v>
                </c:pt>
                <c:pt idx="15">
                  <c:v>21137.0393243853</c:v>
                </c:pt>
                <c:pt idx="16">
                  <c:v>22218.4503718217</c:v>
                </c:pt>
                <c:pt idx="17">
                  <c:v>23355.1884608352</c:v>
                </c:pt>
                <c:pt idx="18">
                  <c:v>24550.0842278771</c:v>
                </c:pt>
                <c:pt idx="19">
                  <c:v>25806.1131301316</c:v>
                </c:pt>
                <c:pt idx="20">
                  <c:v>27126.4028548199</c:v>
                </c:pt>
                <c:pt idx="21">
                  <c:v>28514.2411075769</c:v>
                </c:pt>
                <c:pt idx="22">
                  <c:v>29973.0837992979</c:v>
                </c:pt>
                <c:pt idx="23">
                  <c:v>31506.5636518382</c:v>
                </c:pt>
                <c:pt idx="24">
                  <c:v>33118.4992439979</c:v>
                </c:pt>
                <c:pt idx="25">
                  <c:v>34812.9045203155</c:v>
                </c:pt>
                <c:pt idx="26">
                  <c:v>36593.9987863505</c:v>
                </c:pt>
                <c:pt idx="27">
                  <c:v>38466.217215342</c:v>
                </c:pt>
                <c:pt idx="28">
                  <c:v>40434.2218924099</c:v>
                </c:pt>
                <c:pt idx="29">
                  <c:v>42502.9134237967</c:v>
                </c:pt>
                <c:pt idx="30">
                  <c:v>44677.4431400611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Jahresverlauf!E4</c:f>
              <c:strCache>
                <c:ptCount val="1"/>
                <c:pt idx="0">
                  <c:v>Sparplan Endkap.</c:v>
                </c:pt>
              </c:strCache>
            </c:strRef>
          </c:tx>
          <c:spPr>
            <a:solidFill>
              <a:srgbClr val="1f7a3c"/>
            </a:solidFill>
            <a:ln w="20160">
              <a:solidFill>
                <a:srgbClr val="1f7a3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Jahresverlauf!$B$5:$B$35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Jahresverlauf!$E$5:$E$35</c:f>
              <c:numCache>
                <c:formatCode>General</c:formatCode>
                <c:ptCount val="31"/>
                <c:pt idx="0">
                  <c:v>10000</c:v>
                </c:pt>
                <c:pt idx="1">
                  <c:v>11739.5045279789</c:v>
                </c:pt>
                <c:pt idx="2">
                  <c:v>13568.0054089831</c:v>
                </c:pt>
                <c:pt idx="3">
                  <c:v>15490.0558653379</c:v>
                </c:pt>
                <c:pt idx="4">
                  <c:v>17510.4420708643</c:v>
                </c:pt>
                <c:pt idx="5">
                  <c:v>19634.1950691194</c:v>
                </c:pt>
                <c:pt idx="6">
                  <c:v>21866.6033013973</c:v>
                </c:pt>
                <c:pt idx="7">
                  <c:v>24213.2257756854</c:v>
                </c:pt>
                <c:pt idx="8">
                  <c:v>26679.9059093699</c:v>
                </c:pt>
                <c:pt idx="9">
                  <c:v>29272.7860801609</c:v>
                </c:pt>
                <c:pt idx="10">
                  <c:v>31998.3229214695</c:v>
                </c:pt>
                <c:pt idx="11">
                  <c:v>34863.3034003261</c:v>
                </c:pt>
                <c:pt idx="12">
                  <c:v>37874.861717875</c:v>
                </c:pt>
                <c:pt idx="13">
                  <c:v>41040.4970745313</c:v>
                </c:pt>
                <c:pt idx="14">
                  <c:v>44368.0923440356</c:v>
                </c:pt>
                <c:pt idx="15">
                  <c:v>47865.93370291</c:v>
                </c:pt>
                <c:pt idx="16">
                  <c:v>51542.7312641937</c:v>
                </c:pt>
                <c:pt idx="17">
                  <c:v>55407.6407668396</c:v>
                </c:pt>
                <c:pt idx="18">
                  <c:v>59470.286374782</c:v>
                </c:pt>
                <c:pt idx="19">
                  <c:v>63740.7846424476</c:v>
                </c:pt>
                <c:pt idx="20">
                  <c:v>68229.7697063876</c:v>
                </c:pt>
                <c:pt idx="21">
                  <c:v>72948.4197657616</c:v>
                </c:pt>
                <c:pt idx="22">
                  <c:v>77908.4849176129</c:v>
                </c:pt>
                <c:pt idx="23">
                  <c:v>83122.3164162499</c:v>
                </c:pt>
                <c:pt idx="24">
                  <c:v>88602.8974295928</c:v>
                </c:pt>
                <c:pt idx="25">
                  <c:v>94363.8753690728</c:v>
                </c:pt>
                <c:pt idx="26">
                  <c:v>100419.595873592</c:v>
                </c:pt>
                <c:pt idx="27">
                  <c:v>106785.138532163</c:v>
                </c:pt>
                <c:pt idx="28">
                  <c:v>113476.354434193</c:v>
                </c:pt>
                <c:pt idx="29">
                  <c:v>120509.905640909</c:v>
                </c:pt>
                <c:pt idx="30">
                  <c:v>127903.306676208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Jahresverlauf!D4</c:f>
              <c:strCache>
                <c:ptCount val="1"/>
                <c:pt idx="0">
                  <c:v>Einzahl. kum.</c:v>
                </c:pt>
              </c:strCache>
            </c:strRef>
          </c:tx>
          <c:spPr>
            <a:solidFill>
              <a:srgbClr val="bfbfbf"/>
            </a:solidFill>
            <a:ln w="4752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Jahresverlauf!$B$5:$B$35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Jahresverlauf!$D$5:$D$35</c:f>
              <c:numCache>
                <c:formatCode>General</c:formatCode>
                <c:ptCount val="31"/>
                <c:pt idx="0">
                  <c:v>10000</c:v>
                </c:pt>
                <c:pt idx="1">
                  <c:v>11200</c:v>
                </c:pt>
                <c:pt idx="2">
                  <c:v>12400</c:v>
                </c:pt>
                <c:pt idx="3">
                  <c:v>13600</c:v>
                </c:pt>
                <c:pt idx="4">
                  <c:v>14800</c:v>
                </c:pt>
                <c:pt idx="5">
                  <c:v>16000</c:v>
                </c:pt>
                <c:pt idx="6">
                  <c:v>17200</c:v>
                </c:pt>
                <c:pt idx="7">
                  <c:v>18400</c:v>
                </c:pt>
                <c:pt idx="8">
                  <c:v>19600</c:v>
                </c:pt>
                <c:pt idx="9">
                  <c:v>20800</c:v>
                </c:pt>
                <c:pt idx="10">
                  <c:v>22000</c:v>
                </c:pt>
                <c:pt idx="11">
                  <c:v>23200</c:v>
                </c:pt>
                <c:pt idx="12">
                  <c:v>24400</c:v>
                </c:pt>
                <c:pt idx="13">
                  <c:v>25600</c:v>
                </c:pt>
                <c:pt idx="14">
                  <c:v>26800</c:v>
                </c:pt>
                <c:pt idx="15">
                  <c:v>28000</c:v>
                </c:pt>
                <c:pt idx="16">
                  <c:v>29200</c:v>
                </c:pt>
                <c:pt idx="17">
                  <c:v>30400</c:v>
                </c:pt>
                <c:pt idx="18">
                  <c:v>31600</c:v>
                </c:pt>
                <c:pt idx="19">
                  <c:v>32800</c:v>
                </c:pt>
                <c:pt idx="20">
                  <c:v>34000</c:v>
                </c:pt>
                <c:pt idx="21">
                  <c:v>35200</c:v>
                </c:pt>
                <c:pt idx="22">
                  <c:v>36400</c:v>
                </c:pt>
                <c:pt idx="23">
                  <c:v>37600</c:v>
                </c:pt>
                <c:pt idx="24">
                  <c:v>38800</c:v>
                </c:pt>
                <c:pt idx="25">
                  <c:v>40000</c:v>
                </c:pt>
                <c:pt idx="26">
                  <c:v>41200</c:v>
                </c:pt>
                <c:pt idx="27">
                  <c:v>42400</c:v>
                </c:pt>
                <c:pt idx="28">
                  <c:v>43600</c:v>
                </c:pt>
                <c:pt idx="29">
                  <c:v>44800</c:v>
                </c:pt>
                <c:pt idx="30">
                  <c:v>46000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4320248"/>
        <c:axId val="12455767"/>
      </c:lineChart>
      <c:catAx>
        <c:axId val="2432024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455767"/>
        <c:crosses val="autoZero"/>
        <c:auto val="1"/>
        <c:lblAlgn val="ctr"/>
        <c:lblOffset val="100"/>
        <c:noMultiLvlLbl val="0"/>
      </c:catAx>
      <c:valAx>
        <c:axId val="1245576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Kapital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32024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Szenarien: Endkapital je Zinssatz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Szenarien!C9</c:f>
              <c:strCache>
                <c:ptCount val="1"/>
                <c:pt idx="0">
                  <c:v>Endkap. 3 %</c:v>
                </c:pt>
              </c:strCache>
            </c:strRef>
          </c:tx>
          <c:spPr>
            <a:solidFill>
              <a:srgbClr val="4472c4"/>
            </a:solidFill>
            <a:ln w="2016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Szenarien!$B$10:$B$40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Szenarien!$C$10:$C$40</c:f>
              <c:numCache>
                <c:formatCode>General</c:formatCode>
                <c:ptCount val="31"/>
                <c:pt idx="0">
                  <c:v>10000</c:v>
                </c:pt>
                <c:pt idx="1">
                  <c:v>11520.7978456753</c:v>
                </c:pt>
                <c:pt idx="2">
                  <c:v>13087.8522130989</c:v>
                </c:pt>
                <c:pt idx="3">
                  <c:v>14702.5700386431</c:v>
                </c:pt>
                <c:pt idx="4">
                  <c:v>16366.4010519966</c:v>
                </c:pt>
                <c:pt idx="5">
                  <c:v>18080.8390777635</c:v>
                </c:pt>
                <c:pt idx="6">
                  <c:v>19847.4233766531</c:v>
                </c:pt>
                <c:pt idx="7">
                  <c:v>21667.7400274618</c:v>
                </c:pt>
                <c:pt idx="8">
                  <c:v>23543.4233510904</c:v>
                </c:pt>
                <c:pt idx="9">
                  <c:v>25476.1573778738</c:v>
                </c:pt>
                <c:pt idx="10">
                  <c:v>27467.6773595412</c:v>
                </c:pt>
                <c:pt idx="11">
                  <c:v>29519.7713271634</c:v>
                </c:pt>
                <c:pt idx="12">
                  <c:v>31634.2816964872</c:v>
                </c:pt>
                <c:pt idx="13">
                  <c:v>33813.1069220976</c:v>
                </c:pt>
                <c:pt idx="14">
                  <c:v>36058.2032018922</c:v>
                </c:pt>
                <c:pt idx="15">
                  <c:v>38371.5862333997</c:v>
                </c:pt>
                <c:pt idx="16">
                  <c:v>40755.3330235179</c:v>
                </c:pt>
                <c:pt idx="17">
                  <c:v>43211.5837532971</c:v>
                </c:pt>
                <c:pt idx="18">
                  <c:v>45742.5436994421</c:v>
                </c:pt>
                <c:pt idx="19">
                  <c:v>48350.4852142588</c:v>
                </c:pt>
                <c:pt idx="20">
                  <c:v>51037.7497658231</c:v>
                </c:pt>
                <c:pt idx="21">
                  <c:v>53806.7500402029</c:v>
                </c:pt>
                <c:pt idx="22">
                  <c:v>56659.9721076218</c:v>
                </c:pt>
                <c:pt idx="23">
                  <c:v>59599.977654508</c:v>
                </c:pt>
                <c:pt idx="24">
                  <c:v>62629.4062834338</c:v>
                </c:pt>
                <c:pt idx="25">
                  <c:v>65750.9778830095</c:v>
                </c:pt>
                <c:pt idx="26">
                  <c:v>68967.4950698603</c:v>
                </c:pt>
                <c:pt idx="27">
                  <c:v>72281.8457048779</c:v>
                </c:pt>
                <c:pt idx="28">
                  <c:v>75697.0054860064</c:v>
                </c:pt>
                <c:pt idx="29">
                  <c:v>79216.0406198906</c:v>
                </c:pt>
                <c:pt idx="30">
                  <c:v>82842.110574784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Szenarien!D9</c:f>
              <c:strCache>
                <c:ptCount val="1"/>
                <c:pt idx="0">
                  <c:v>Endkap. 5 %</c:v>
                </c:pt>
              </c:strCache>
            </c:strRef>
          </c:tx>
          <c:spPr>
            <a:solidFill>
              <a:srgbClr val="70ad47"/>
            </a:solidFill>
            <a:ln w="20160">
              <a:solidFill>
                <a:srgbClr val="70ad47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Szenarien!$B$10:$B$40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Szenarien!$D$10:$D$40</c:f>
              <c:numCache>
                <c:formatCode>General</c:formatCode>
                <c:ptCount val="31"/>
                <c:pt idx="0">
                  <c:v>10000</c:v>
                </c:pt>
                <c:pt idx="1">
                  <c:v>11739.5045279789</c:v>
                </c:pt>
                <c:pt idx="2">
                  <c:v>13568.0054089831</c:v>
                </c:pt>
                <c:pt idx="3">
                  <c:v>15490.0558653379</c:v>
                </c:pt>
                <c:pt idx="4">
                  <c:v>17510.4420708643</c:v>
                </c:pt>
                <c:pt idx="5">
                  <c:v>19634.1950691194</c:v>
                </c:pt>
                <c:pt idx="6">
                  <c:v>21866.6033013973</c:v>
                </c:pt>
                <c:pt idx="7">
                  <c:v>24213.2257756854</c:v>
                </c:pt>
                <c:pt idx="8">
                  <c:v>26679.9059093699</c:v>
                </c:pt>
                <c:pt idx="9">
                  <c:v>29272.7860801609</c:v>
                </c:pt>
                <c:pt idx="10">
                  <c:v>31998.3229214695</c:v>
                </c:pt>
                <c:pt idx="11">
                  <c:v>34863.3034003261</c:v>
                </c:pt>
                <c:pt idx="12">
                  <c:v>37874.861717875</c:v>
                </c:pt>
                <c:pt idx="13">
                  <c:v>41040.4970745313</c:v>
                </c:pt>
                <c:pt idx="14">
                  <c:v>44368.0923440356</c:v>
                </c:pt>
                <c:pt idx="15">
                  <c:v>47865.93370291</c:v>
                </c:pt>
                <c:pt idx="16">
                  <c:v>51542.7312641937</c:v>
                </c:pt>
                <c:pt idx="17">
                  <c:v>55407.6407668396</c:v>
                </c:pt>
                <c:pt idx="18">
                  <c:v>59470.286374782</c:v>
                </c:pt>
                <c:pt idx="19">
                  <c:v>63740.7846424476</c:v>
                </c:pt>
                <c:pt idx="20">
                  <c:v>68229.7697063876</c:v>
                </c:pt>
                <c:pt idx="21">
                  <c:v>72948.4197657616</c:v>
                </c:pt>
                <c:pt idx="22">
                  <c:v>77908.4849176129</c:v>
                </c:pt>
                <c:pt idx="23">
                  <c:v>83122.3164162499</c:v>
                </c:pt>
                <c:pt idx="24">
                  <c:v>88602.8974295928</c:v>
                </c:pt>
                <c:pt idx="25">
                  <c:v>94363.8753690728</c:v>
                </c:pt>
                <c:pt idx="26">
                  <c:v>100419.595873592</c:v>
                </c:pt>
                <c:pt idx="27">
                  <c:v>106785.138532163</c:v>
                </c:pt>
                <c:pt idx="28">
                  <c:v>113476.354434193</c:v>
                </c:pt>
                <c:pt idx="29">
                  <c:v>120509.905640909</c:v>
                </c:pt>
                <c:pt idx="30">
                  <c:v>127903.306676208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Szenarien!E9</c:f>
              <c:strCache>
                <c:ptCount val="1"/>
                <c:pt idx="0">
                  <c:v>Endkap. 7 %</c:v>
                </c:pt>
              </c:strCache>
            </c:strRef>
          </c:tx>
          <c:spPr>
            <a:solidFill>
              <a:srgbClr val="ff0000"/>
            </a:solidFill>
            <a:ln w="20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Szenarien!$B$10:$B$40</c:f>
              <c:strCach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strCache>
            </c:strRef>
          </c:cat>
          <c:val>
            <c:numRef>
              <c:f>Szenarien!$E$10:$E$40</c:f>
              <c:numCache>
                <c:formatCode>General</c:formatCode>
                <c:ptCount val="31"/>
                <c:pt idx="0">
                  <c:v>10000</c:v>
                </c:pt>
                <c:pt idx="1">
                  <c:v>11962.1593375264</c:v>
                </c:pt>
                <c:pt idx="2">
                  <c:v>14066.1633322154</c:v>
                </c:pt>
                <c:pt idx="3">
                  <c:v>16322.2659458023</c:v>
                </c:pt>
                <c:pt idx="4">
                  <c:v>18741.4623997454</c:v>
                </c:pt>
                <c:pt idx="5">
                  <c:v>21335.5427609512</c:v>
                </c:pt>
                <c:pt idx="6">
                  <c:v>24117.149401216</c:v>
                </c:pt>
                <c:pt idx="7">
                  <c:v>27099.8386104159</c:v>
                </c:pt>
                <c:pt idx="8">
                  <c:v>30298.1466637179</c:v>
                </c:pt>
                <c:pt idx="9">
                  <c:v>33727.6606647962</c:v>
                </c:pt>
                <c:pt idx="10">
                  <c:v>37405.09451031</c:v>
                </c:pt>
                <c:pt idx="11">
                  <c:v>41348.3703458595</c:v>
                </c:pt>
                <c:pt idx="12">
                  <c:v>45576.7059103994</c:v>
                </c:pt>
                <c:pt idx="13">
                  <c:v>50110.7081947871</c:v>
                </c:pt>
                <c:pt idx="14">
                  <c:v>54972.4738709155</c:v>
                </c:pt>
                <c:pt idx="15">
                  <c:v>60185.6969808754</c:v>
                </c:pt>
                <c:pt idx="16">
                  <c:v>65775.7844109758</c:v>
                </c:pt>
                <c:pt idx="17">
                  <c:v>71769.9797133916</c:v>
                </c:pt>
                <c:pt idx="18">
                  <c:v>78197.4958788872</c:v>
                </c:pt>
                <c:pt idx="19">
                  <c:v>85089.6577076912</c:v>
                </c:pt>
                <c:pt idx="20">
                  <c:v>92480.0544723736</c:v>
                </c:pt>
                <c:pt idx="21">
                  <c:v>100404.703616735</c:v>
                </c:pt>
                <c:pt idx="22">
                  <c:v>108902.226288499</c:v>
                </c:pt>
                <c:pt idx="23">
                  <c:v>118014.035561283</c:v>
                </c:pt>
                <c:pt idx="24">
                  <c:v>127784.538263142</c:v>
                </c:pt>
                <c:pt idx="25">
                  <c:v>138261.351395326</c:v>
                </c:pt>
                <c:pt idx="26">
                  <c:v>149495.534195951</c:v>
                </c:pt>
                <c:pt idx="27">
                  <c:v>161541.836979586</c:v>
                </c:pt>
                <c:pt idx="28">
                  <c:v>174458.967965469</c:v>
                </c:pt>
                <c:pt idx="29">
                  <c:v>188309.879394753</c:v>
                </c:pt>
                <c:pt idx="30">
                  <c:v>203162.074331191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1099145"/>
        <c:axId val="55728567"/>
      </c:lineChart>
      <c:catAx>
        <c:axId val="3109914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5728567"/>
        <c:crosses val="autoZero"/>
        <c:auto val="1"/>
        <c:lblAlgn val="ctr"/>
        <c:lblOffset val="100"/>
        <c:noMultiLvlLbl val="0"/>
      </c:catAx>
      <c:valAx>
        <c:axId val="5572856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Endkapital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09914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36</xdr:row>
      <xdr:rowOff>0</xdr:rowOff>
    </xdr:from>
    <xdr:to>
      <xdr:col>5</xdr:col>
      <xdr:colOff>985320</xdr:colOff>
      <xdr:row>62</xdr:row>
      <xdr:rowOff>86400</xdr:rowOff>
    </xdr:to>
    <xdr:graphicFrame>
      <xdr:nvGraphicFramePr>
        <xdr:cNvPr id="0" name="Chart 1"/>
        <xdr:cNvGraphicFramePr/>
      </xdr:nvGraphicFramePr>
      <xdr:xfrm>
        <a:off x="266760" y="840096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41</xdr:row>
      <xdr:rowOff>0</xdr:rowOff>
    </xdr:from>
    <xdr:to>
      <xdr:col>6</xdr:col>
      <xdr:colOff>1002960</xdr:colOff>
      <xdr:row>67</xdr:row>
      <xdr:rowOff>86760</xdr:rowOff>
    </xdr:to>
    <xdr:graphicFrame>
      <xdr:nvGraphicFramePr>
        <xdr:cNvPr id="1" name="Chart 1"/>
        <xdr:cNvGraphicFramePr/>
      </xdr:nvGraphicFramePr>
      <xdr:xfrm>
        <a:off x="266760" y="8915400"/>
        <a:ext cx="935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4" min="4" style="0" width="3"/>
    <col collapsed="false" customWidth="true" hidden="false" outlineLevel="0" max="5" min="5" style="0" width="30"/>
    <col collapsed="false" customWidth="true" hidden="false" outlineLevel="0" max="6" min="6" style="0" width="22"/>
    <col collapsed="false" customWidth="true" hidden="false" outlineLevel="0" max="7" min="7" style="0" width="3"/>
  </cols>
  <sheetData>
    <row r="1" customFormat="false" ht="36" hidden="false" customHeight="true" outlineLevel="0" collapsed="false">
      <c r="B1" s="1" t="s">
        <v>0</v>
      </c>
      <c r="C1" s="1"/>
      <c r="D1" s="1"/>
      <c r="E1" s="1"/>
      <c r="F1" s="1"/>
    </row>
    <row r="2" customFormat="false" ht="18" hidden="false" customHeight="true" outlineLevel="0" collapsed="false">
      <c r="B2" s="2" t="s">
        <v>1</v>
      </c>
      <c r="C2" s="2"/>
      <c r="D2" s="2"/>
      <c r="E2" s="2"/>
      <c r="F2" s="2"/>
    </row>
    <row r="4" customFormat="false" ht="21.75" hidden="false" customHeight="true" outlineLevel="0" collapsed="false">
      <c r="B4" s="3" t="s">
        <v>2</v>
      </c>
      <c r="C4" s="3"/>
      <c r="E4" s="3" t="s">
        <v>3</v>
      </c>
      <c r="F4" s="3"/>
    </row>
    <row r="5" customFormat="false" ht="19.5" hidden="false" customHeight="true" outlineLevel="0" collapsed="false">
      <c r="B5" s="4" t="s">
        <v>4</v>
      </c>
      <c r="C5" s="5" t="n">
        <v>10000</v>
      </c>
      <c r="E5" s="6" t="s">
        <v>5</v>
      </c>
      <c r="F5" s="7" t="s">
        <v>6</v>
      </c>
    </row>
    <row r="6" customFormat="false" ht="19.5" hidden="false" customHeight="true" outlineLevel="0" collapsed="false">
      <c r="B6" s="4" t="s">
        <v>7</v>
      </c>
      <c r="C6" s="8" t="n">
        <v>0.05</v>
      </c>
      <c r="E6" s="6" t="s">
        <v>8</v>
      </c>
      <c r="F6" s="7" t="s">
        <v>9</v>
      </c>
    </row>
    <row r="7" customFormat="false" ht="19.5" hidden="false" customHeight="true" outlineLevel="0" collapsed="false">
      <c r="B7" s="4" t="s">
        <v>10</v>
      </c>
      <c r="C7" s="9" t="n">
        <v>15</v>
      </c>
      <c r="E7" s="6" t="s">
        <v>11</v>
      </c>
      <c r="F7" s="7" t="s">
        <v>12</v>
      </c>
    </row>
    <row r="8" customFormat="false" ht="19.5" hidden="false" customHeight="true" outlineLevel="0" collapsed="false">
      <c r="B8" s="4" t="s">
        <v>13</v>
      </c>
      <c r="C8" s="10" t="n">
        <v>12</v>
      </c>
      <c r="E8" s="6" t="s">
        <v>14</v>
      </c>
      <c r="F8" s="7" t="s">
        <v>15</v>
      </c>
    </row>
    <row r="9" customFormat="false" ht="19.5" hidden="false" customHeight="true" outlineLevel="0" collapsed="false">
      <c r="B9" s="4" t="s">
        <v>16</v>
      </c>
      <c r="C9" s="5" t="n">
        <v>100</v>
      </c>
      <c r="E9" s="6" t="s">
        <v>17</v>
      </c>
      <c r="F9" s="7" t="s">
        <v>18</v>
      </c>
    </row>
    <row r="11" customFormat="false" ht="21.75" hidden="false" customHeight="true" outlineLevel="0" collapsed="false">
      <c r="B11" s="3" t="s">
        <v>19</v>
      </c>
      <c r="C11" s="3"/>
      <c r="E11" s="3" t="s">
        <v>20</v>
      </c>
      <c r="F11" s="3"/>
    </row>
    <row r="12" customFormat="false" ht="19.5" hidden="false" customHeight="true" outlineLevel="0" collapsed="false">
      <c r="B12" s="11" t="s">
        <v>21</v>
      </c>
      <c r="C12" s="12" t="n">
        <f aca="false">C5*(1+C6/C8)^(C7*C8)</f>
        <v>21137.0393243853</v>
      </c>
      <c r="E12" s="13"/>
      <c r="F12" s="14" t="s">
        <v>22</v>
      </c>
    </row>
    <row r="13" customFormat="false" ht="19.5" hidden="false" customHeight="true" outlineLevel="0" collapsed="false">
      <c r="B13" s="11" t="s">
        <v>23</v>
      </c>
      <c r="C13" s="12" t="n">
        <f aca="false">IF(C6=0,C5+C9*C7*C8,C5*(1+C6/C8)^(C7*C8)+C9*(((1+C6/C8)^(C7*C8)-1)/(C6/C8)))</f>
        <v>47865.93370291</v>
      </c>
      <c r="E13" s="11"/>
      <c r="F13" s="15" t="s">
        <v>24</v>
      </c>
    </row>
    <row r="14" customFormat="false" ht="19.5" hidden="false" customHeight="true" outlineLevel="0" collapsed="false">
      <c r="B14" s="11" t="s">
        <v>25</v>
      </c>
      <c r="C14" s="16" t="n">
        <f aca="false">ABS(FV(C6/C8,C7*C8,-C9,-C5,0))</f>
        <v>47865.93370291</v>
      </c>
      <c r="E14" s="4"/>
      <c r="F14" s="17" t="s">
        <v>26</v>
      </c>
    </row>
    <row r="15" customFormat="false" ht="19.5" hidden="false" customHeight="true" outlineLevel="0" collapsed="false">
      <c r="B15" s="11" t="s">
        <v>27</v>
      </c>
      <c r="C15" s="16" t="n">
        <f aca="false">C5+C9*C7*C8</f>
        <v>28000</v>
      </c>
    </row>
    <row r="16" customFormat="false" ht="19.5" hidden="false" customHeight="true" outlineLevel="0" collapsed="false">
      <c r="B16" s="11" t="s">
        <v>28</v>
      </c>
      <c r="C16" s="12" t="n">
        <f aca="false">C13-C15</f>
        <v>19865.93370291</v>
      </c>
    </row>
    <row r="18" customFormat="false" ht="30" hidden="false" customHeight="true" outlineLevel="0" collapsed="false">
      <c r="B18" s="18" t="s">
        <v>29</v>
      </c>
      <c r="C18" s="18"/>
      <c r="D18" s="18"/>
      <c r="E18" s="18"/>
      <c r="F18" s="18"/>
    </row>
  </sheetData>
  <mergeCells count="7">
    <mergeCell ref="B1:F1"/>
    <mergeCell ref="B2:F2"/>
    <mergeCell ref="B4:C4"/>
    <mergeCell ref="E4:F4"/>
    <mergeCell ref="B11:C11"/>
    <mergeCell ref="E11:F11"/>
    <mergeCell ref="B18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6" min="3" style="0" width="22"/>
    <col collapsed="false" customWidth="true" hidden="false" outlineLevel="0" max="7" min="7" style="0" width="3"/>
  </cols>
  <sheetData>
    <row r="1" customFormat="false" ht="33.75" hidden="false" customHeight="true" outlineLevel="0" collapsed="false">
      <c r="B1" s="19" t="s">
        <v>30</v>
      </c>
      <c r="C1" s="19"/>
      <c r="D1" s="19"/>
      <c r="E1" s="19"/>
      <c r="F1" s="19"/>
    </row>
    <row r="2" customFormat="false" ht="18" hidden="false" customHeight="true" outlineLevel="0" collapsed="false">
      <c r="B2" s="2" t="s">
        <v>31</v>
      </c>
      <c r="C2" s="2"/>
      <c r="D2" s="2"/>
      <c r="E2" s="2"/>
      <c r="F2" s="2"/>
    </row>
    <row r="4" customFormat="false" ht="21.75" hidden="false" customHeight="true" outlineLevel="0" collapsed="false">
      <c r="B4" s="20" t="s">
        <v>32</v>
      </c>
      <c r="C4" s="20" t="s">
        <v>33</v>
      </c>
      <c r="D4" s="20" t="s">
        <v>34</v>
      </c>
      <c r="E4" s="20" t="s">
        <v>35</v>
      </c>
      <c r="F4" s="20" t="s">
        <v>28</v>
      </c>
    </row>
    <row r="5" customFormat="false" ht="18" hidden="false" customHeight="true" outlineLevel="0" collapsed="false">
      <c r="B5" s="21" t="n">
        <v>0</v>
      </c>
      <c r="C5" s="22" t="n">
        <f aca="false">'Zinseszins-Rechner'!C5</f>
        <v>10000</v>
      </c>
      <c r="D5" s="22" t="n">
        <f aca="false">'Zinseszins-Rechner'!C5+'Zinseszins-Rechner'!C9*0*'Zinseszins-Rechner'!C8</f>
        <v>10000</v>
      </c>
      <c r="E5" s="22" t="n">
        <f aca="false">'Zinseszins-Rechner'!C5</f>
        <v>10000</v>
      </c>
      <c r="F5" s="22" t="n">
        <f aca="false">E5-D5</f>
        <v>0</v>
      </c>
    </row>
    <row r="6" customFormat="false" ht="18" hidden="false" customHeight="true" outlineLevel="0" collapsed="false">
      <c r="B6" s="23" t="n">
        <v>1</v>
      </c>
      <c r="C6" s="24" t="n">
        <f aca="false">'Zinseszins-Rechner'!C5*(1+'Zinseszins-Rechner'!C6/'Zinseszins-Rechner'!C8)^(1*'Zinseszins-Rechner'!C8)</f>
        <v>10511.6189788173</v>
      </c>
      <c r="D6" s="24" t="n">
        <f aca="false">'Zinseszins-Rechner'!C5+'Zinseszins-Rechner'!C9*1*'Zinseszins-Rechner'!C8</f>
        <v>11200</v>
      </c>
      <c r="E6" s="24" t="n">
        <f aca="false">IF('Zinseszins-Rechner'!C6=0,'Zinseszins-Rechner'!C5+'Zinseszins-Rechner'!C9*1*'Zinseszins-Rechner'!C8,'Zinseszins-Rechner'!C5*(1+'Zinseszins-Rechner'!C6/'Zinseszins-Rechner'!C8)^(1*'Zinseszins-Rechner'!C8)+'Zinseszins-Rechner'!C9*(((1+'Zinseszins-Rechner'!C6/'Zinseszins-Rechner'!C8)^(1*'Zinseszins-Rechner'!C8)-1)/('Zinseszins-Rechner'!C6/'Zinseszins-Rechner'!C8)))</f>
        <v>11739.5045279789</v>
      </c>
      <c r="F6" s="24" t="n">
        <f aca="false">E6-D6</f>
        <v>539.504527978923</v>
      </c>
    </row>
    <row r="7" customFormat="false" ht="18" hidden="false" customHeight="true" outlineLevel="0" collapsed="false">
      <c r="B7" s="25" t="n">
        <v>2</v>
      </c>
      <c r="C7" s="22" t="n">
        <f aca="false">'Zinseszins-Rechner'!C5*(1+'Zinseszins-Rechner'!C6/'Zinseszins-Rechner'!C8)^(2*'Zinseszins-Rechner'!C8)</f>
        <v>11049.4133555833</v>
      </c>
      <c r="D7" s="22" t="n">
        <f aca="false">'Zinseszins-Rechner'!C5+'Zinseszins-Rechner'!C9*2*'Zinseszins-Rechner'!C8</f>
        <v>12400</v>
      </c>
      <c r="E7" s="22" t="n">
        <f aca="false">IF('Zinseszins-Rechner'!C6=0,'Zinseszins-Rechner'!C5+'Zinseszins-Rechner'!C9*2*'Zinseszins-Rechner'!C8,'Zinseszins-Rechner'!C5*(1+'Zinseszins-Rechner'!C6/'Zinseszins-Rechner'!C8)^(2*'Zinseszins-Rechner'!C8)+'Zinseszins-Rechner'!C9*(((1+'Zinseszins-Rechner'!C6/'Zinseszins-Rechner'!C8)^(2*'Zinseszins-Rechner'!C8)-1)/('Zinseszins-Rechner'!C6/'Zinseszins-Rechner'!C8)))</f>
        <v>13568.0054089831</v>
      </c>
      <c r="F7" s="22" t="n">
        <f aca="false">E7-D7</f>
        <v>1168.00540898311</v>
      </c>
    </row>
    <row r="8" customFormat="false" ht="18" hidden="false" customHeight="true" outlineLevel="0" collapsed="false">
      <c r="B8" s="23" t="n">
        <v>3</v>
      </c>
      <c r="C8" s="24" t="n">
        <f aca="false">'Zinseszins-Rechner'!C5*(1+'Zinseszins-Rechner'!C6/'Zinseszins-Rechner'!C8)^(3*'Zinseszins-Rechner'!C8)</f>
        <v>11614.7223133347</v>
      </c>
      <c r="D8" s="24" t="n">
        <f aca="false">'Zinseszins-Rechner'!C5+'Zinseszins-Rechner'!C9*3*'Zinseszins-Rechner'!C8</f>
        <v>13600</v>
      </c>
      <c r="E8" s="24" t="n">
        <f aca="false">IF('Zinseszins-Rechner'!C6=0,'Zinseszins-Rechner'!C5+'Zinseszins-Rechner'!C9*3*'Zinseszins-Rechner'!C8,'Zinseszins-Rechner'!C5*(1+'Zinseszins-Rechner'!C6/'Zinseszins-Rechner'!C8)^(3*'Zinseszins-Rechner'!C8)+'Zinseszins-Rechner'!C9*(((1+'Zinseszins-Rechner'!C6/'Zinseszins-Rechner'!C8)^(3*'Zinseszins-Rechner'!C8)-1)/('Zinseszins-Rechner'!C6/'Zinseszins-Rechner'!C8)))</f>
        <v>15490.0558653379</v>
      </c>
      <c r="F8" s="24" t="n">
        <f aca="false">E8-D8</f>
        <v>1890.0558653379</v>
      </c>
    </row>
    <row r="9" customFormat="false" ht="18" hidden="false" customHeight="true" outlineLevel="0" collapsed="false">
      <c r="B9" s="25" t="n">
        <v>4</v>
      </c>
      <c r="C9" s="22" t="n">
        <f aca="false">'Zinseszins-Rechner'!C5*(1+'Zinseszins-Rechner'!C6/'Zinseszins-Rechner'!C8)^(4*'Zinseszins-Rechner'!C8)</f>
        <v>12208.9535502542</v>
      </c>
      <c r="D9" s="22" t="n">
        <f aca="false">'Zinseszins-Rechner'!C5+'Zinseszins-Rechner'!C9*4*'Zinseszins-Rechner'!C8</f>
        <v>14800</v>
      </c>
      <c r="E9" s="22" t="n">
        <f aca="false">IF('Zinseszins-Rechner'!C6=0,'Zinseszins-Rechner'!C5+'Zinseszins-Rechner'!C9*4*'Zinseszins-Rechner'!C8,'Zinseszins-Rechner'!C5*(1+'Zinseszins-Rechner'!C6/'Zinseszins-Rechner'!C8)^(4*'Zinseszins-Rechner'!C8)+'Zinseszins-Rechner'!C9*(((1+'Zinseszins-Rechner'!C6/'Zinseszins-Rechner'!C8)^(4*'Zinseszins-Rechner'!C8)-1)/('Zinseszins-Rechner'!C6/'Zinseszins-Rechner'!C8)))</f>
        <v>17510.4420708643</v>
      </c>
      <c r="F9" s="22" t="n">
        <f aca="false">E9-D9</f>
        <v>2710.44207086425</v>
      </c>
    </row>
    <row r="10" customFormat="false" ht="18" hidden="false" customHeight="true" outlineLevel="0" collapsed="false">
      <c r="B10" s="23" t="n">
        <v>5</v>
      </c>
      <c r="C10" s="24" t="n">
        <f aca="false">'Zinseszins-Rechner'!C5*(1+'Zinseszins-Rechner'!C6/'Zinseszins-Rechner'!C8)^(5*'Zinseszins-Rechner'!C8)</f>
        <v>12833.5867850351</v>
      </c>
      <c r="D10" s="24" t="n">
        <f aca="false">'Zinseszins-Rechner'!C5+'Zinseszins-Rechner'!C9*5*'Zinseszins-Rechner'!C8</f>
        <v>16000</v>
      </c>
      <c r="E10" s="24" t="n">
        <f aca="false">IF('Zinseszins-Rechner'!C6=0,'Zinseszins-Rechner'!C5+'Zinseszins-Rechner'!C9*5*'Zinseszins-Rechner'!C8,'Zinseszins-Rechner'!C5*(1+'Zinseszins-Rechner'!C6/'Zinseszins-Rechner'!C8)^(5*'Zinseszins-Rechner'!C8)+'Zinseszins-Rechner'!C9*(((1+'Zinseszins-Rechner'!C6/'Zinseszins-Rechner'!C8)^(5*'Zinseszins-Rechner'!C8)-1)/('Zinseszins-Rechner'!C6/'Zinseszins-Rechner'!C8)))</f>
        <v>19634.1950691194</v>
      </c>
      <c r="F10" s="24" t="n">
        <f aca="false">E10-D10</f>
        <v>3634.1950691194</v>
      </c>
    </row>
    <row r="11" customFormat="false" ht="18" hidden="false" customHeight="true" outlineLevel="0" collapsed="false">
      <c r="B11" s="25" t="n">
        <v>6</v>
      </c>
      <c r="C11" s="22" t="n">
        <f aca="false">'Zinseszins-Rechner'!C5*(1+'Zinseszins-Rechner'!C6/'Zinseszins-Rechner'!C8)^(6*'Zinseszins-Rechner'!C8)</f>
        <v>13490.1774415874</v>
      </c>
      <c r="D11" s="22" t="n">
        <f aca="false">'Zinseszins-Rechner'!C5+'Zinseszins-Rechner'!C9*6*'Zinseszins-Rechner'!C8</f>
        <v>17200</v>
      </c>
      <c r="E11" s="22" t="n">
        <f aca="false">IF('Zinseszins-Rechner'!C6=0,'Zinseszins-Rechner'!C5+'Zinseszins-Rechner'!C9*6*'Zinseszins-Rechner'!C8,'Zinseszins-Rechner'!C5*(1+'Zinseszins-Rechner'!C6/'Zinseszins-Rechner'!C8)^(6*'Zinseszins-Rechner'!C8)+'Zinseszins-Rechner'!C9*(((1+'Zinseszins-Rechner'!C6/'Zinseszins-Rechner'!C8)^(6*'Zinseszins-Rechner'!C8)-1)/('Zinseszins-Rechner'!C6/'Zinseszins-Rechner'!C8)))</f>
        <v>21866.6033013973</v>
      </c>
      <c r="F11" s="22" t="n">
        <f aca="false">E11-D11</f>
        <v>4666.60330139731</v>
      </c>
    </row>
    <row r="12" customFormat="false" ht="18" hidden="false" customHeight="true" outlineLevel="0" collapsed="false">
      <c r="B12" s="23" t="n">
        <v>7</v>
      </c>
      <c r="C12" s="24" t="n">
        <f aca="false">'Zinseszins-Rechner'!C5*(1+'Zinseszins-Rechner'!C6/'Zinseszins-Rechner'!C8)^(7*'Zinseszins-Rechner'!C8)</f>
        <v>14180.3605222604</v>
      </c>
      <c r="D12" s="24" t="n">
        <f aca="false">'Zinseszins-Rechner'!C5+'Zinseszins-Rechner'!C9*7*'Zinseszins-Rechner'!C8</f>
        <v>18400</v>
      </c>
      <c r="E12" s="24" t="n">
        <f aca="false">IF('Zinseszins-Rechner'!C6=0,'Zinseszins-Rechner'!C5+'Zinseszins-Rechner'!C9*7*'Zinseszins-Rechner'!C8,'Zinseszins-Rechner'!C5*(1+'Zinseszins-Rechner'!C6/'Zinseszins-Rechner'!C8)^(7*'Zinseszins-Rechner'!C8)+'Zinseszins-Rechner'!C9*(((1+'Zinseszins-Rechner'!C6/'Zinseszins-Rechner'!C8)^(7*'Zinseszins-Rechner'!C8)-1)/('Zinseszins-Rechner'!C6/'Zinseszins-Rechner'!C8)))</f>
        <v>24213.2257756854</v>
      </c>
      <c r="F12" s="24" t="n">
        <f aca="false">E12-D12</f>
        <v>5813.22577568535</v>
      </c>
    </row>
    <row r="13" customFormat="false" ht="18" hidden="false" customHeight="true" outlineLevel="0" collapsed="false">
      <c r="B13" s="25" t="n">
        <v>8</v>
      </c>
      <c r="C13" s="22" t="n">
        <f aca="false">'Zinseszins-Rechner'!C5*(1+'Zinseszins-Rechner'!C6/'Zinseszins-Rechner'!C8)^(8*'Zinseszins-Rechner'!C8)</f>
        <v>14905.8546792264</v>
      </c>
      <c r="D13" s="22" t="n">
        <f aca="false">'Zinseszins-Rechner'!C5+'Zinseszins-Rechner'!C9*8*'Zinseszins-Rechner'!C8</f>
        <v>19600</v>
      </c>
      <c r="E13" s="22" t="n">
        <f aca="false">IF('Zinseszins-Rechner'!C6=0,'Zinseszins-Rechner'!C5+'Zinseszins-Rechner'!C9*8*'Zinseszins-Rechner'!C8,'Zinseszins-Rechner'!C5*(1+'Zinseszins-Rechner'!C6/'Zinseszins-Rechner'!C8)^(8*'Zinseszins-Rechner'!C8)+'Zinseszins-Rechner'!C9*(((1+'Zinseszins-Rechner'!C6/'Zinseszins-Rechner'!C8)^(8*'Zinseszins-Rechner'!C8)-1)/('Zinseszins-Rechner'!C6/'Zinseszins-Rechner'!C8)))</f>
        <v>26679.9059093699</v>
      </c>
      <c r="F13" s="22" t="n">
        <f aca="false">E13-D13</f>
        <v>7079.9059093699</v>
      </c>
    </row>
    <row r="14" customFormat="false" ht="18" hidden="false" customHeight="true" outlineLevel="0" collapsed="false">
      <c r="B14" s="23" t="n">
        <v>9</v>
      </c>
      <c r="C14" s="24" t="n">
        <f aca="false">'Zinseszins-Rechner'!C5*(1+'Zinseszins-Rechner'!C6/'Zinseszins-Rechner'!C8)^(9*'Zinseszins-Rechner'!C8)</f>
        <v>15668.466494165</v>
      </c>
      <c r="D14" s="24" t="n">
        <f aca="false">'Zinseszins-Rechner'!C5+'Zinseszins-Rechner'!C9*9*'Zinseszins-Rechner'!C8</f>
        <v>20800</v>
      </c>
      <c r="E14" s="24" t="n">
        <f aca="false">IF('Zinseszins-Rechner'!C6=0,'Zinseszins-Rechner'!C5+'Zinseszins-Rechner'!C9*9*'Zinseszins-Rechner'!C8,'Zinseszins-Rechner'!C5*(1+'Zinseszins-Rechner'!C6/'Zinseszins-Rechner'!C8)^(9*'Zinseszins-Rechner'!C8)+'Zinseszins-Rechner'!C9*(((1+'Zinseszins-Rechner'!C6/'Zinseszins-Rechner'!C8)^(9*'Zinseszins-Rechner'!C8)-1)/('Zinseszins-Rechner'!C6/'Zinseszins-Rechner'!C8)))</f>
        <v>29272.7860801609</v>
      </c>
      <c r="F14" s="24" t="n">
        <f aca="false">E14-D14</f>
        <v>8472.78608016092</v>
      </c>
    </row>
    <row r="15" customFormat="false" ht="18" hidden="false" customHeight="true" outlineLevel="0" collapsed="false">
      <c r="B15" s="25" t="n">
        <v>10</v>
      </c>
      <c r="C15" s="22" t="n">
        <f aca="false">'Zinseszins-Rechner'!C5*(1+'Zinseszins-Rechner'!C6/'Zinseszins-Rechner'!C8)^(10*'Zinseszins-Rechner'!C8)</f>
        <v>16470.0949769028</v>
      </c>
      <c r="D15" s="22" t="n">
        <f aca="false">'Zinseszins-Rechner'!C5+'Zinseszins-Rechner'!C9*10*'Zinseszins-Rechner'!C8</f>
        <v>22000</v>
      </c>
      <c r="E15" s="22" t="n">
        <f aca="false">IF('Zinseszins-Rechner'!C6=0,'Zinseszins-Rechner'!C5+'Zinseszins-Rechner'!C9*10*'Zinseszins-Rechner'!C8,'Zinseszins-Rechner'!C5*(1+'Zinseszins-Rechner'!C6/'Zinseszins-Rechner'!C8)^(10*'Zinseszins-Rechner'!C8)+'Zinseszins-Rechner'!C9*(((1+'Zinseszins-Rechner'!C6/'Zinseszins-Rechner'!C8)^(10*'Zinseszins-Rechner'!C8)-1)/('Zinseszins-Rechner'!C6/'Zinseszins-Rechner'!C8)))</f>
        <v>31998.3229214695</v>
      </c>
      <c r="F15" s="22" t="n">
        <f aca="false">E15-D15</f>
        <v>9998.32292146952</v>
      </c>
    </row>
    <row r="16" customFormat="false" ht="18" hidden="false" customHeight="true" outlineLevel="0" collapsed="false">
      <c r="B16" s="23" t="n">
        <v>11</v>
      </c>
      <c r="C16" s="24" t="n">
        <f aca="false">'Zinseszins-Rechner'!C5*(1+'Zinseszins-Rechner'!C6/'Zinseszins-Rechner'!C8)^(11*'Zinseszins-Rechner'!C8)</f>
        <v>17312.7362942135</v>
      </c>
      <c r="D16" s="24" t="n">
        <f aca="false">'Zinseszins-Rechner'!C5+'Zinseszins-Rechner'!C9*11*'Zinseszins-Rechner'!C8</f>
        <v>23200</v>
      </c>
      <c r="E16" s="24" t="n">
        <f aca="false">IF('Zinseszins-Rechner'!C6=0,'Zinseszins-Rechner'!C5+'Zinseszins-Rechner'!C9*11*'Zinseszins-Rechner'!C8,'Zinseszins-Rechner'!C5*(1+'Zinseszins-Rechner'!C6/'Zinseszins-Rechner'!C8)^(11*'Zinseszins-Rechner'!C8)+'Zinseszins-Rechner'!C9*(((1+'Zinseszins-Rechner'!C6/'Zinseszins-Rechner'!C8)^(11*'Zinseszins-Rechner'!C8)-1)/('Zinseszins-Rechner'!C6/'Zinseszins-Rechner'!C8)))</f>
        <v>34863.3034003261</v>
      </c>
      <c r="F16" s="24" t="n">
        <f aca="false">E16-D16</f>
        <v>11663.3034003261</v>
      </c>
    </row>
    <row r="17" customFormat="false" ht="18" hidden="false" customHeight="true" outlineLevel="0" collapsed="false">
      <c r="B17" s="25" t="n">
        <v>12</v>
      </c>
      <c r="C17" s="22" t="n">
        <f aca="false">'Zinseszins-Rechner'!C5*(1+'Zinseszins-Rechner'!C6/'Zinseszins-Rechner'!C8)^(12*'Zinseszins-Rechner'!C8)</f>
        <v>18198.4887405515</v>
      </c>
      <c r="D17" s="22" t="n">
        <f aca="false">'Zinseszins-Rechner'!C5+'Zinseszins-Rechner'!C9*12*'Zinseszins-Rechner'!C8</f>
        <v>24400</v>
      </c>
      <c r="E17" s="22" t="n">
        <f aca="false">IF('Zinseszins-Rechner'!C6=0,'Zinseszins-Rechner'!C5+'Zinseszins-Rechner'!C9*12*'Zinseszins-Rechner'!C8,'Zinseszins-Rechner'!C5*(1+'Zinseszins-Rechner'!C6/'Zinseszins-Rechner'!C8)^(12*'Zinseszins-Rechner'!C8)+'Zinseszins-Rechner'!C9*(((1+'Zinseszins-Rechner'!C6/'Zinseszins-Rechner'!C8)^(12*'Zinseszins-Rechner'!C8)-1)/('Zinseszins-Rechner'!C6/'Zinseszins-Rechner'!C8)))</f>
        <v>37874.861717875</v>
      </c>
      <c r="F17" s="22" t="n">
        <f aca="false">E17-D17</f>
        <v>13474.861717875</v>
      </c>
    </row>
    <row r="18" customFormat="false" ht="18" hidden="false" customHeight="true" outlineLevel="0" collapsed="false">
      <c r="B18" s="23" t="n">
        <v>13</v>
      </c>
      <c r="C18" s="24" t="n">
        <f aca="false">'Zinseszins-Rechner'!C5*(1+'Zinseszins-Rechner'!C6/'Zinseszins-Rechner'!C8)^(13*'Zinseszins-Rechner'!C8)</f>
        <v>19129.5579630974</v>
      </c>
      <c r="D18" s="24" t="n">
        <f aca="false">'Zinseszins-Rechner'!C5+'Zinseszins-Rechner'!C9*13*'Zinseszins-Rechner'!C8</f>
        <v>25600</v>
      </c>
      <c r="E18" s="24" t="n">
        <f aca="false">IF('Zinseszins-Rechner'!C6=0,'Zinseszins-Rechner'!C5+'Zinseszins-Rechner'!C9*13*'Zinseszins-Rechner'!C8,'Zinseszins-Rechner'!C5*(1+'Zinseszins-Rechner'!C6/'Zinseszins-Rechner'!C8)^(13*'Zinseszins-Rechner'!C8)+'Zinseszins-Rechner'!C9*(((1+'Zinseszins-Rechner'!C6/'Zinseszins-Rechner'!C8)^(13*'Zinseszins-Rechner'!C8)-1)/('Zinseszins-Rechner'!C6/'Zinseszins-Rechner'!C8)))</f>
        <v>41040.4970745313</v>
      </c>
      <c r="F18" s="24" t="n">
        <f aca="false">E18-D18</f>
        <v>15440.4970745313</v>
      </c>
    </row>
    <row r="19" customFormat="false" ht="18" hidden="false" customHeight="true" outlineLevel="0" collapsed="false">
      <c r="B19" s="25" t="n">
        <v>14</v>
      </c>
      <c r="C19" s="22" t="n">
        <f aca="false">'Zinseszins-Rechner'!C5*(1+'Zinseszins-Rechner'!C6/'Zinseszins-Rechner'!C8)^(14*'Zinseszins-Rechner'!C8)</f>
        <v>20108.2624541281</v>
      </c>
      <c r="D19" s="22" t="n">
        <f aca="false">'Zinseszins-Rechner'!C5+'Zinseszins-Rechner'!C9*14*'Zinseszins-Rechner'!C8</f>
        <v>26800</v>
      </c>
      <c r="E19" s="22" t="n">
        <f aca="false">IF('Zinseszins-Rechner'!C6=0,'Zinseszins-Rechner'!C5+'Zinseszins-Rechner'!C9*14*'Zinseszins-Rechner'!C8,'Zinseszins-Rechner'!C5*(1+'Zinseszins-Rechner'!C6/'Zinseszins-Rechner'!C8)^(14*'Zinseszins-Rechner'!C8)+'Zinseszins-Rechner'!C9*(((1+'Zinseszins-Rechner'!C6/'Zinseszins-Rechner'!C8)^(14*'Zinseszins-Rechner'!C8)-1)/('Zinseszins-Rechner'!C6/'Zinseszins-Rechner'!C8)))</f>
        <v>44368.0923440356</v>
      </c>
      <c r="F19" s="22" t="n">
        <f aca="false">E19-D19</f>
        <v>17568.0923440356</v>
      </c>
    </row>
    <row r="20" customFormat="false" ht="18" hidden="false" customHeight="true" outlineLevel="0" collapsed="false">
      <c r="B20" s="23" t="n">
        <v>15</v>
      </c>
      <c r="C20" s="24" t="n">
        <f aca="false">'Zinseszins-Rechner'!C5*(1+'Zinseszins-Rechner'!C6/'Zinseszins-Rechner'!C8)^(15*'Zinseszins-Rechner'!C8)</f>
        <v>21137.0393243853</v>
      </c>
      <c r="D20" s="24" t="n">
        <f aca="false">'Zinseszins-Rechner'!C5+'Zinseszins-Rechner'!C9*15*'Zinseszins-Rechner'!C8</f>
        <v>28000</v>
      </c>
      <c r="E20" s="24" t="n">
        <f aca="false">IF('Zinseszins-Rechner'!C6=0,'Zinseszins-Rechner'!C5+'Zinseszins-Rechner'!C9*15*'Zinseszins-Rechner'!C8,'Zinseszins-Rechner'!C5*(1+'Zinseszins-Rechner'!C6/'Zinseszins-Rechner'!C8)^(15*'Zinseszins-Rechner'!C8)+'Zinseszins-Rechner'!C9*(((1+'Zinseszins-Rechner'!C6/'Zinseszins-Rechner'!C8)^(15*'Zinseszins-Rechner'!C8)-1)/('Zinseszins-Rechner'!C6/'Zinseszins-Rechner'!C8)))</f>
        <v>47865.93370291</v>
      </c>
      <c r="F20" s="24" t="n">
        <f aca="false">E20-D20</f>
        <v>19865.93370291</v>
      </c>
    </row>
    <row r="21" customFormat="false" ht="18" hidden="false" customHeight="true" outlineLevel="0" collapsed="false">
      <c r="B21" s="25" t="n">
        <v>16</v>
      </c>
      <c r="C21" s="22" t="n">
        <f aca="false">'Zinseszins-Rechner'!C5*(1+'Zinseszins-Rechner'!C6/'Zinseszins-Rechner'!C8)^(16*'Zinseszins-Rechner'!C8)</f>
        <v>22218.4503718217</v>
      </c>
      <c r="D21" s="22" t="n">
        <f aca="false">'Zinseszins-Rechner'!C5+'Zinseszins-Rechner'!C9*16*'Zinseszins-Rechner'!C8</f>
        <v>29200</v>
      </c>
      <c r="E21" s="22" t="n">
        <f aca="false">IF('Zinseszins-Rechner'!C6=0,'Zinseszins-Rechner'!C5+'Zinseszins-Rechner'!C9*16*'Zinseszins-Rechner'!C8,'Zinseszins-Rechner'!C5*(1+'Zinseszins-Rechner'!C6/'Zinseszins-Rechner'!C8)^(16*'Zinseszins-Rechner'!C8)+'Zinseszins-Rechner'!C9*(((1+'Zinseszins-Rechner'!C6/'Zinseszins-Rechner'!C8)^(16*'Zinseszins-Rechner'!C8)-1)/('Zinseszins-Rechner'!C6/'Zinseszins-Rechner'!C8)))</f>
        <v>51542.7312641937</v>
      </c>
      <c r="F21" s="22" t="n">
        <f aca="false">E21-D21</f>
        <v>22342.7312641937</v>
      </c>
    </row>
    <row r="22" customFormat="false" ht="18" hidden="false" customHeight="true" outlineLevel="0" collapsed="false">
      <c r="B22" s="23" t="n">
        <v>17</v>
      </c>
      <c r="C22" s="24" t="n">
        <f aca="false">'Zinseszins-Rechner'!C5*(1+'Zinseszins-Rechner'!C6/'Zinseszins-Rechner'!C8)^(17*'Zinseszins-Rechner'!C8)</f>
        <v>23355.1884608352</v>
      </c>
      <c r="D22" s="24" t="n">
        <f aca="false">'Zinseszins-Rechner'!C5+'Zinseszins-Rechner'!C9*17*'Zinseszins-Rechner'!C8</f>
        <v>30400</v>
      </c>
      <c r="E22" s="24" t="n">
        <f aca="false">IF('Zinseszins-Rechner'!C6=0,'Zinseszins-Rechner'!C5+'Zinseszins-Rechner'!C9*17*'Zinseszins-Rechner'!C8,'Zinseszins-Rechner'!C5*(1+'Zinseszins-Rechner'!C6/'Zinseszins-Rechner'!C8)^(17*'Zinseszins-Rechner'!C8)+'Zinseszins-Rechner'!C9*(((1+'Zinseszins-Rechner'!C6/'Zinseszins-Rechner'!C8)^(17*'Zinseszins-Rechner'!C8)-1)/('Zinseszins-Rechner'!C6/'Zinseszins-Rechner'!C8)))</f>
        <v>55407.6407668396</v>
      </c>
      <c r="F22" s="24" t="n">
        <f aca="false">E22-D22</f>
        <v>25007.6407668396</v>
      </c>
    </row>
    <row r="23" customFormat="false" ht="18" hidden="false" customHeight="true" outlineLevel="0" collapsed="false">
      <c r="B23" s="25" t="n">
        <v>18</v>
      </c>
      <c r="C23" s="22" t="n">
        <f aca="false">'Zinseszins-Rechner'!C5*(1+'Zinseszins-Rechner'!C6/'Zinseszins-Rechner'!C8)^(18*'Zinseszins-Rechner'!C8)</f>
        <v>24550.0842278771</v>
      </c>
      <c r="D23" s="22" t="n">
        <f aca="false">'Zinseszins-Rechner'!C5+'Zinseszins-Rechner'!C9*18*'Zinseszins-Rechner'!C8</f>
        <v>31600</v>
      </c>
      <c r="E23" s="22" t="n">
        <f aca="false">IF('Zinseszins-Rechner'!C6=0,'Zinseszins-Rechner'!C5+'Zinseszins-Rechner'!C9*18*'Zinseszins-Rechner'!C8,'Zinseszins-Rechner'!C5*(1+'Zinseszins-Rechner'!C6/'Zinseszins-Rechner'!C8)^(18*'Zinseszins-Rechner'!C8)+'Zinseszins-Rechner'!C9*(((1+'Zinseszins-Rechner'!C6/'Zinseszins-Rechner'!C8)^(18*'Zinseszins-Rechner'!C8)-1)/('Zinseszins-Rechner'!C6/'Zinseszins-Rechner'!C8)))</f>
        <v>59470.286374782</v>
      </c>
      <c r="F23" s="22" t="n">
        <f aca="false">E23-D23</f>
        <v>27870.286374782</v>
      </c>
    </row>
    <row r="24" customFormat="false" ht="18" hidden="false" customHeight="true" outlineLevel="0" collapsed="false">
      <c r="B24" s="23" t="n">
        <v>19</v>
      </c>
      <c r="C24" s="24" t="n">
        <f aca="false">'Zinseszins-Rechner'!C5*(1+'Zinseszins-Rechner'!C6/'Zinseszins-Rechner'!C8)^(19*'Zinseszins-Rechner'!C8)</f>
        <v>25806.1131301316</v>
      </c>
      <c r="D24" s="24" t="n">
        <f aca="false">'Zinseszins-Rechner'!C5+'Zinseszins-Rechner'!C9*19*'Zinseszins-Rechner'!C8</f>
        <v>32800</v>
      </c>
      <c r="E24" s="24" t="n">
        <f aca="false">IF('Zinseszins-Rechner'!C6=0,'Zinseszins-Rechner'!C5+'Zinseszins-Rechner'!C9*19*'Zinseszins-Rechner'!C8,'Zinseszins-Rechner'!C5*(1+'Zinseszins-Rechner'!C6/'Zinseszins-Rechner'!C8)^(19*'Zinseszins-Rechner'!C8)+'Zinseszins-Rechner'!C9*(((1+'Zinseszins-Rechner'!C6/'Zinseszins-Rechner'!C8)^(19*'Zinseszins-Rechner'!C8)-1)/('Zinseszins-Rechner'!C6/'Zinseszins-Rechner'!C8)))</f>
        <v>63740.7846424476</v>
      </c>
      <c r="F24" s="24" t="n">
        <f aca="false">E24-D24</f>
        <v>30940.7846424476</v>
      </c>
    </row>
    <row r="25" customFormat="false" ht="18" hidden="false" customHeight="true" outlineLevel="0" collapsed="false">
      <c r="B25" s="25" t="n">
        <v>20</v>
      </c>
      <c r="C25" s="22" t="n">
        <f aca="false">'Zinseszins-Rechner'!C5*(1+'Zinseszins-Rechner'!C6/'Zinseszins-Rechner'!C8)^(20*'Zinseszins-Rechner'!C8)</f>
        <v>27126.4028548199</v>
      </c>
      <c r="D25" s="22" t="n">
        <f aca="false">'Zinseszins-Rechner'!C5+'Zinseszins-Rechner'!C9*20*'Zinseszins-Rechner'!C8</f>
        <v>34000</v>
      </c>
      <c r="E25" s="22" t="n">
        <f aca="false">IF('Zinseszins-Rechner'!C6=0,'Zinseszins-Rechner'!C5+'Zinseszins-Rechner'!C9*20*'Zinseszins-Rechner'!C8,'Zinseszins-Rechner'!C5*(1+'Zinseszins-Rechner'!C6/'Zinseszins-Rechner'!C8)^(20*'Zinseszins-Rechner'!C8)+'Zinseszins-Rechner'!C9*(((1+'Zinseszins-Rechner'!C6/'Zinseszins-Rechner'!C8)^(20*'Zinseszins-Rechner'!C8)-1)/('Zinseszins-Rechner'!C6/'Zinseszins-Rechner'!C8)))</f>
        <v>68229.7697063876</v>
      </c>
      <c r="F25" s="22" t="n">
        <f aca="false">E25-D25</f>
        <v>34229.7697063876</v>
      </c>
    </row>
    <row r="26" customFormat="false" ht="18" hidden="false" customHeight="true" outlineLevel="0" collapsed="false">
      <c r="B26" s="23" t="n">
        <v>21</v>
      </c>
      <c r="C26" s="24" t="n">
        <f aca="false">'Zinseszins-Rechner'!C5*(1+'Zinseszins-Rechner'!C6/'Zinseszins-Rechner'!C8)^(21*'Zinseszins-Rechner'!C8)</f>
        <v>28514.2411075769</v>
      </c>
      <c r="D26" s="24" t="n">
        <f aca="false">'Zinseszins-Rechner'!C5+'Zinseszins-Rechner'!C9*21*'Zinseszins-Rechner'!C8</f>
        <v>35200</v>
      </c>
      <c r="E26" s="24" t="n">
        <f aca="false">IF('Zinseszins-Rechner'!C6=0,'Zinseszins-Rechner'!C5+'Zinseszins-Rechner'!C9*21*'Zinseszins-Rechner'!C8,'Zinseszins-Rechner'!C5*(1+'Zinseszins-Rechner'!C6/'Zinseszins-Rechner'!C8)^(21*'Zinseszins-Rechner'!C8)+'Zinseszins-Rechner'!C9*(((1+'Zinseszins-Rechner'!C6/'Zinseszins-Rechner'!C8)^(21*'Zinseszins-Rechner'!C8)-1)/('Zinseszins-Rechner'!C6/'Zinseszins-Rechner'!C8)))</f>
        <v>72948.4197657616</v>
      </c>
      <c r="F26" s="24" t="n">
        <f aca="false">E26-D26</f>
        <v>37748.4197657616</v>
      </c>
    </row>
    <row r="27" customFormat="false" ht="18" hidden="false" customHeight="true" outlineLevel="0" collapsed="false">
      <c r="B27" s="25" t="n">
        <v>22</v>
      </c>
      <c r="C27" s="22" t="n">
        <f aca="false">'Zinseszins-Rechner'!C5*(1+'Zinseszins-Rechner'!C6/'Zinseszins-Rechner'!C8)^(22*'Zinseszins-Rechner'!C8)</f>
        <v>29973.0837992979</v>
      </c>
      <c r="D27" s="22" t="n">
        <f aca="false">'Zinseszins-Rechner'!C5+'Zinseszins-Rechner'!C9*22*'Zinseszins-Rechner'!C8</f>
        <v>36400</v>
      </c>
      <c r="E27" s="22" t="n">
        <f aca="false">IF('Zinseszins-Rechner'!C6=0,'Zinseszins-Rechner'!C5+'Zinseszins-Rechner'!C9*22*'Zinseszins-Rechner'!C8,'Zinseszins-Rechner'!C5*(1+'Zinseszins-Rechner'!C6/'Zinseszins-Rechner'!C8)^(22*'Zinseszins-Rechner'!C8)+'Zinseszins-Rechner'!C9*(((1+'Zinseszins-Rechner'!C6/'Zinseszins-Rechner'!C8)^(22*'Zinseszins-Rechner'!C8)-1)/('Zinseszins-Rechner'!C6/'Zinseszins-Rechner'!C8)))</f>
        <v>77908.4849176129</v>
      </c>
      <c r="F27" s="22" t="n">
        <f aca="false">E27-D27</f>
        <v>41508.4849176129</v>
      </c>
    </row>
    <row r="28" customFormat="false" ht="18" hidden="false" customHeight="true" outlineLevel="0" collapsed="false">
      <c r="B28" s="23" t="n">
        <v>23</v>
      </c>
      <c r="C28" s="24" t="n">
        <f aca="false">'Zinseszins-Rechner'!C5*(1+'Zinseszins-Rechner'!C6/'Zinseszins-Rechner'!C8)^(23*'Zinseszins-Rechner'!C8)</f>
        <v>31506.5636518382</v>
      </c>
      <c r="D28" s="24" t="n">
        <f aca="false">'Zinseszins-Rechner'!C5+'Zinseszins-Rechner'!C9*23*'Zinseszins-Rechner'!C8</f>
        <v>37600</v>
      </c>
      <c r="E28" s="24" t="n">
        <f aca="false">IF('Zinseszins-Rechner'!C6=0,'Zinseszins-Rechner'!C5+'Zinseszins-Rechner'!C9*23*'Zinseszins-Rechner'!C8,'Zinseszins-Rechner'!C5*(1+'Zinseszins-Rechner'!C6/'Zinseszins-Rechner'!C8)^(23*'Zinseszins-Rechner'!C8)+'Zinseszins-Rechner'!C9*(((1+'Zinseszins-Rechner'!C6/'Zinseszins-Rechner'!C8)^(23*'Zinseszins-Rechner'!C8)-1)/('Zinseszins-Rechner'!C6/'Zinseszins-Rechner'!C8)))</f>
        <v>83122.3164162499</v>
      </c>
      <c r="F28" s="24" t="n">
        <f aca="false">E28-D28</f>
        <v>45522.3164162499</v>
      </c>
    </row>
    <row r="29" customFormat="false" ht="18" hidden="false" customHeight="true" outlineLevel="0" collapsed="false">
      <c r="B29" s="25" t="n">
        <v>24</v>
      </c>
      <c r="C29" s="22" t="n">
        <f aca="false">'Zinseszins-Rechner'!C5*(1+'Zinseszins-Rechner'!C6/'Zinseszins-Rechner'!C8)^(24*'Zinseszins-Rechner'!C8)</f>
        <v>33118.4992439979</v>
      </c>
      <c r="D29" s="22" t="n">
        <f aca="false">'Zinseszins-Rechner'!C5+'Zinseszins-Rechner'!C9*24*'Zinseszins-Rechner'!C8</f>
        <v>38800</v>
      </c>
      <c r="E29" s="22" t="n">
        <f aca="false">IF('Zinseszins-Rechner'!C6=0,'Zinseszins-Rechner'!C5+'Zinseszins-Rechner'!C9*24*'Zinseszins-Rechner'!C8,'Zinseszins-Rechner'!C5*(1+'Zinseszins-Rechner'!C6/'Zinseszins-Rechner'!C8)^(24*'Zinseszins-Rechner'!C8)+'Zinseszins-Rechner'!C9*(((1+'Zinseszins-Rechner'!C6/'Zinseszins-Rechner'!C8)^(24*'Zinseszins-Rechner'!C8)-1)/('Zinseszins-Rechner'!C6/'Zinseszins-Rechner'!C8)))</f>
        <v>88602.8974295928</v>
      </c>
      <c r="F29" s="22" t="n">
        <f aca="false">E29-D29</f>
        <v>49802.8974295928</v>
      </c>
    </row>
    <row r="30" customFormat="false" ht="18" hidden="false" customHeight="true" outlineLevel="0" collapsed="false">
      <c r="B30" s="23" t="n">
        <v>25</v>
      </c>
      <c r="C30" s="24" t="n">
        <f aca="false">'Zinseszins-Rechner'!C5*(1+'Zinseszins-Rechner'!C6/'Zinseszins-Rechner'!C8)^(25*'Zinseszins-Rechner'!C8)</f>
        <v>34812.9045203155</v>
      </c>
      <c r="D30" s="24" t="n">
        <f aca="false">'Zinseszins-Rechner'!C5+'Zinseszins-Rechner'!C9*25*'Zinseszins-Rechner'!C8</f>
        <v>40000</v>
      </c>
      <c r="E30" s="24" t="n">
        <f aca="false">IF('Zinseszins-Rechner'!C6=0,'Zinseszins-Rechner'!C5+'Zinseszins-Rechner'!C9*25*'Zinseszins-Rechner'!C8,'Zinseszins-Rechner'!C5*(1+'Zinseszins-Rechner'!C6/'Zinseszins-Rechner'!C8)^(25*'Zinseszins-Rechner'!C8)+'Zinseszins-Rechner'!C9*(((1+'Zinseszins-Rechner'!C6/'Zinseszins-Rechner'!C8)^(25*'Zinseszins-Rechner'!C8)-1)/('Zinseszins-Rechner'!C6/'Zinseszins-Rechner'!C8)))</f>
        <v>94363.8753690728</v>
      </c>
      <c r="F30" s="24" t="n">
        <f aca="false">E30-D30</f>
        <v>54363.8753690728</v>
      </c>
    </row>
    <row r="31" customFormat="false" ht="18" hidden="false" customHeight="true" outlineLevel="0" collapsed="false">
      <c r="B31" s="25" t="n">
        <v>26</v>
      </c>
      <c r="C31" s="22" t="n">
        <f aca="false">'Zinseszins-Rechner'!C5*(1+'Zinseszins-Rechner'!C6/'Zinseszins-Rechner'!C8)^(26*'Zinseszins-Rechner'!C8)</f>
        <v>36593.9987863505</v>
      </c>
      <c r="D31" s="22" t="n">
        <f aca="false">'Zinseszins-Rechner'!C5+'Zinseszins-Rechner'!C9*26*'Zinseszins-Rechner'!C8</f>
        <v>41200</v>
      </c>
      <c r="E31" s="22" t="n">
        <f aca="false">IF('Zinseszins-Rechner'!C6=0,'Zinseszins-Rechner'!C5+'Zinseszins-Rechner'!C9*26*'Zinseszins-Rechner'!C8,'Zinseszins-Rechner'!C5*(1+'Zinseszins-Rechner'!C6/'Zinseszins-Rechner'!C8)^(26*'Zinseszins-Rechner'!C8)+'Zinseszins-Rechner'!C9*(((1+'Zinseszins-Rechner'!C6/'Zinseszins-Rechner'!C8)^(26*'Zinseszins-Rechner'!C8)-1)/('Zinseszins-Rechner'!C6/'Zinseszins-Rechner'!C8)))</f>
        <v>100419.595873592</v>
      </c>
      <c r="F31" s="22" t="n">
        <f aca="false">E31-D31</f>
        <v>59219.5958735915</v>
      </c>
    </row>
    <row r="32" customFormat="false" ht="18" hidden="false" customHeight="true" outlineLevel="0" collapsed="false">
      <c r="B32" s="23" t="n">
        <v>27</v>
      </c>
      <c r="C32" s="24" t="n">
        <f aca="false">'Zinseszins-Rechner'!C5*(1+'Zinseszins-Rechner'!C6/'Zinseszins-Rechner'!C8)^(27*'Zinseszins-Rechner'!C8)</f>
        <v>38466.217215342</v>
      </c>
      <c r="D32" s="24" t="n">
        <f aca="false">'Zinseszins-Rechner'!C5+'Zinseszins-Rechner'!C9*27*'Zinseszins-Rechner'!C8</f>
        <v>42400</v>
      </c>
      <c r="E32" s="24" t="n">
        <f aca="false">IF('Zinseszins-Rechner'!C6=0,'Zinseszins-Rechner'!C5+'Zinseszins-Rechner'!C9*27*'Zinseszins-Rechner'!C8,'Zinseszins-Rechner'!C5*(1+'Zinseszins-Rechner'!C6/'Zinseszins-Rechner'!C8)^(27*'Zinseszins-Rechner'!C8)+'Zinseszins-Rechner'!C9*(((1+'Zinseszins-Rechner'!C6/'Zinseszins-Rechner'!C8)^(27*'Zinseszins-Rechner'!C8)-1)/('Zinseszins-Rechner'!C6/'Zinseszins-Rechner'!C8)))</f>
        <v>106785.138532163</v>
      </c>
      <c r="F32" s="24" t="n">
        <f aca="false">E32-D32</f>
        <v>64385.1385321627</v>
      </c>
    </row>
    <row r="33" customFormat="false" ht="18" hidden="false" customHeight="true" outlineLevel="0" collapsed="false">
      <c r="B33" s="25" t="n">
        <v>28</v>
      </c>
      <c r="C33" s="22" t="n">
        <f aca="false">'Zinseszins-Rechner'!C5*(1+'Zinseszins-Rechner'!C6/'Zinseszins-Rechner'!C8)^(28*'Zinseszins-Rechner'!C8)</f>
        <v>40434.2218924099</v>
      </c>
      <c r="D33" s="22" t="n">
        <f aca="false">'Zinseszins-Rechner'!C5+'Zinseszins-Rechner'!C9*28*'Zinseszins-Rechner'!C8</f>
        <v>43600</v>
      </c>
      <c r="E33" s="22" t="n">
        <f aca="false">IF('Zinseszins-Rechner'!C6=0,'Zinseszins-Rechner'!C5+'Zinseszins-Rechner'!C9*28*'Zinseszins-Rechner'!C8,'Zinseszins-Rechner'!C5*(1+'Zinseszins-Rechner'!C6/'Zinseszins-Rechner'!C8)^(28*'Zinseszins-Rechner'!C8)+'Zinseszins-Rechner'!C9*(((1+'Zinseszins-Rechner'!C6/'Zinseszins-Rechner'!C8)^(28*'Zinseszins-Rechner'!C8)-1)/('Zinseszins-Rechner'!C6/'Zinseszins-Rechner'!C8)))</f>
        <v>113476.354434193</v>
      </c>
      <c r="F33" s="22" t="n">
        <f aca="false">E33-D33</f>
        <v>69876.3544341935</v>
      </c>
    </row>
    <row r="34" customFormat="false" ht="18" hidden="false" customHeight="true" outlineLevel="0" collapsed="false">
      <c r="B34" s="23" t="n">
        <v>29</v>
      </c>
      <c r="C34" s="24" t="n">
        <f aca="false">'Zinseszins-Rechner'!C5*(1+'Zinseszins-Rechner'!C6/'Zinseszins-Rechner'!C8)^(29*'Zinseszins-Rechner'!C8)</f>
        <v>42502.9134237967</v>
      </c>
      <c r="D34" s="24" t="n">
        <f aca="false">'Zinseszins-Rechner'!C5+'Zinseszins-Rechner'!C9*29*'Zinseszins-Rechner'!C8</f>
        <v>44800</v>
      </c>
      <c r="E34" s="24" t="n">
        <f aca="false">IF('Zinseszins-Rechner'!C6=0,'Zinseszins-Rechner'!C5+'Zinseszins-Rechner'!C9*29*'Zinseszins-Rechner'!C8,'Zinseszins-Rechner'!C5*(1+'Zinseszins-Rechner'!C6/'Zinseszins-Rechner'!C8)^(29*'Zinseszins-Rechner'!C8)+'Zinseszins-Rechner'!C9*(((1+'Zinseszins-Rechner'!C6/'Zinseszins-Rechner'!C8)^(29*'Zinseszins-Rechner'!C8)-1)/('Zinseszins-Rechner'!C6/'Zinseszins-Rechner'!C8)))</f>
        <v>120509.905640909</v>
      </c>
      <c r="F34" s="24" t="n">
        <f aca="false">E34-D34</f>
        <v>75709.9056409086</v>
      </c>
    </row>
    <row r="35" customFormat="false" ht="18" hidden="false" customHeight="true" outlineLevel="0" collapsed="false">
      <c r="B35" s="25" t="n">
        <v>30</v>
      </c>
      <c r="C35" s="22" t="n">
        <f aca="false">'Zinseszins-Rechner'!C5*(1+'Zinseszins-Rechner'!C6/'Zinseszins-Rechner'!C8)^(30*'Zinseszins-Rechner'!C8)</f>
        <v>44677.4431400611</v>
      </c>
      <c r="D35" s="22" t="n">
        <f aca="false">'Zinseszins-Rechner'!C5+'Zinseszins-Rechner'!C9*30*'Zinseszins-Rechner'!C8</f>
        <v>46000</v>
      </c>
      <c r="E35" s="22" t="n">
        <f aca="false">IF('Zinseszins-Rechner'!C6=0,'Zinseszins-Rechner'!C5+'Zinseszins-Rechner'!C9*30*'Zinseszins-Rechner'!C8,'Zinseszins-Rechner'!C5*(1+'Zinseszins-Rechner'!C6/'Zinseszins-Rechner'!C8)^(30*'Zinseszins-Rechner'!C8)+'Zinseszins-Rechner'!C9*(((1+'Zinseszins-Rechner'!C6/'Zinseszins-Rechner'!C8)^(30*'Zinseszins-Rechner'!C8)-1)/('Zinseszins-Rechner'!C6/'Zinseszins-Rechner'!C8)))</f>
        <v>127903.306676208</v>
      </c>
      <c r="F35" s="22" t="n">
        <f aca="false">E35-D35</f>
        <v>81903.3066762077</v>
      </c>
    </row>
  </sheetData>
  <mergeCells count="2">
    <mergeCell ref="B1:F1"/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8" min="3" style="0" width="20"/>
    <col collapsed="false" customWidth="true" hidden="false" outlineLevel="0" max="9" min="9" style="0" width="3"/>
  </cols>
  <sheetData>
    <row r="1" customFormat="false" ht="33.75" hidden="false" customHeight="true" outlineLevel="0" collapsed="false">
      <c r="B1" s="19" t="s">
        <v>36</v>
      </c>
      <c r="C1" s="19"/>
      <c r="D1" s="19"/>
      <c r="E1" s="19"/>
      <c r="F1" s="19"/>
      <c r="G1" s="19"/>
    </row>
    <row r="2" customFormat="false" ht="18" hidden="false" customHeight="true" outlineLevel="0" collapsed="false">
      <c r="B2" s="2" t="s">
        <v>37</v>
      </c>
      <c r="C2" s="2"/>
      <c r="D2" s="2"/>
      <c r="E2" s="2"/>
      <c r="F2" s="2"/>
      <c r="G2" s="2"/>
    </row>
    <row r="4" customFormat="false" ht="21.75" hidden="false" customHeight="true" outlineLevel="0" collapsed="false">
      <c r="B4" s="3" t="s">
        <v>38</v>
      </c>
      <c r="C4" s="3"/>
      <c r="D4" s="3"/>
      <c r="E4" s="3"/>
      <c r="F4" s="3"/>
      <c r="G4" s="3"/>
    </row>
    <row r="5" customFormat="false" ht="19.5" hidden="false" customHeight="true" outlineLevel="0" collapsed="false">
      <c r="B5" s="26" t="s">
        <v>39</v>
      </c>
      <c r="C5" s="26" t="s">
        <v>40</v>
      </c>
      <c r="D5" s="26" t="s">
        <v>41</v>
      </c>
      <c r="E5" s="26" t="s">
        <v>42</v>
      </c>
    </row>
    <row r="6" customFormat="false" ht="19.5" hidden="false" customHeight="true" outlineLevel="0" collapsed="false">
      <c r="B6" s="27" t="n">
        <f aca="false">'Zinseszins-Rechner'!C5</f>
        <v>10000</v>
      </c>
      <c r="C6" s="28" t="n">
        <f aca="false">'Zinseszins-Rechner'!C7</f>
        <v>15</v>
      </c>
      <c r="D6" s="29" t="n">
        <f aca="false">'Zinseszins-Rechner'!C8</f>
        <v>12</v>
      </c>
      <c r="E6" s="27" t="n">
        <f aca="false">'Zinseszins-Rechner'!C9</f>
        <v>100</v>
      </c>
    </row>
    <row r="7" customFormat="false" ht="19.5" hidden="false" customHeight="true" outlineLevel="0" collapsed="false">
      <c r="B7" s="30" t="s">
        <v>43</v>
      </c>
      <c r="C7" s="31" t="n">
        <v>0.03</v>
      </c>
      <c r="D7" s="31" t="n">
        <v>0.05</v>
      </c>
      <c r="E7" s="31" t="n">
        <v>0.07</v>
      </c>
      <c r="F7" s="32"/>
      <c r="G7" s="32"/>
    </row>
    <row r="8" customFormat="false" ht="21.75" hidden="false" customHeight="true" outlineLevel="0" collapsed="false">
      <c r="B8" s="3" t="s">
        <v>44</v>
      </c>
      <c r="C8" s="3"/>
      <c r="D8" s="3"/>
      <c r="E8" s="3"/>
      <c r="F8" s="3"/>
      <c r="G8" s="3"/>
    </row>
    <row r="9" customFormat="false" ht="30" hidden="false" customHeight="true" outlineLevel="0" collapsed="false">
      <c r="B9" s="33" t="s">
        <v>32</v>
      </c>
      <c r="C9" s="33" t="s">
        <v>45</v>
      </c>
      <c r="D9" s="33" t="s">
        <v>46</v>
      </c>
      <c r="E9" s="33" t="s">
        <v>47</v>
      </c>
      <c r="F9" s="33" t="s">
        <v>48</v>
      </c>
      <c r="G9" s="33" t="s">
        <v>49</v>
      </c>
      <c r="H9" s="33" t="s">
        <v>50</v>
      </c>
    </row>
    <row r="10" customFormat="false" ht="15.75" hidden="false" customHeight="true" outlineLevel="0" collapsed="false">
      <c r="B10" s="25" t="n">
        <v>0</v>
      </c>
      <c r="C10" s="34" t="n">
        <f aca="false">$B$6</f>
        <v>10000</v>
      </c>
      <c r="D10" s="35" t="n">
        <f aca="false">$B$6</f>
        <v>10000</v>
      </c>
      <c r="E10" s="36" t="n">
        <f aca="false">$B$6</f>
        <v>10000</v>
      </c>
      <c r="F10" s="34" t="n">
        <f aca="false">C10-($B$6+$E$6*0*$D$6)</f>
        <v>0</v>
      </c>
      <c r="G10" s="35" t="n">
        <f aca="false">D10-($B$6+$E$6*0*$D$6)</f>
        <v>0</v>
      </c>
      <c r="H10" s="36" t="n">
        <f aca="false">E10-($B$6+$E$6*0*$D$6)</f>
        <v>0</v>
      </c>
    </row>
    <row r="11" customFormat="false" ht="15.75" hidden="false" customHeight="true" outlineLevel="0" collapsed="false">
      <c r="B11" s="23" t="n">
        <v>1</v>
      </c>
      <c r="C11" s="34" t="n">
        <f aca="false">IF($C$7=0,$B$6+$E$6*1*$D$6,$B$6*(1+$C$7/$D$6)^(1*$D$6)+$E$6*(((1+$C$7/$D$6)^(1*$D$6)-1)/($C$7/$D$6)))</f>
        <v>11520.7978456753</v>
      </c>
      <c r="D11" s="35" t="n">
        <f aca="false">IF($D$7=0,$B$6+$E$6*1*$D$6,$B$6*(1+$D$7/$D$6)^(1*$D$6)+$E$6*(((1+$D$7/$D$6)^(1*$D$6)-1)/($D$7/$D$6)))</f>
        <v>11739.5045279789</v>
      </c>
      <c r="E11" s="36" t="n">
        <f aca="false">IF($E$7=0,$B$6+$E$6*1*$D$6,$B$6*(1+$E$7/$D$6)^(1*$D$6)+$E$6*(((1+$E$7/$D$6)^(1*$D$6)-1)/($E$7/$D$6)))</f>
        <v>11962.1593375264</v>
      </c>
      <c r="F11" s="34" t="n">
        <f aca="false">C11-($B$6+$E$6*1*$D$6)</f>
        <v>320.797845675337</v>
      </c>
      <c r="G11" s="35" t="n">
        <f aca="false">D11-($B$6+$E$6*1*$D$6)</f>
        <v>539.504527978923</v>
      </c>
      <c r="H11" s="36" t="n">
        <f aca="false">E11-($B$6+$E$6*1*$D$6)</f>
        <v>762.159337526402</v>
      </c>
    </row>
    <row r="12" customFormat="false" ht="15.75" hidden="false" customHeight="true" outlineLevel="0" collapsed="false">
      <c r="B12" s="25" t="n">
        <v>2</v>
      </c>
      <c r="C12" s="34" t="n">
        <f aca="false">IF($C$7=0,$B$6+$E$6*2*$D$6,$B$6*(1+$C$7/$D$6)^(2*$D$6)+$E$6*(((1+$C$7/$D$6)^(2*$D$6)-1)/($C$7/$D$6)))</f>
        <v>13087.8522130989</v>
      </c>
      <c r="D12" s="35" t="n">
        <f aca="false">IF($D$7=0,$B$6+$E$6*2*$D$6,$B$6*(1+$D$7/$D$6)^(2*$D$6)+$E$6*(((1+$D$7/$D$6)^(2*$D$6)-1)/($D$7/$D$6)))</f>
        <v>13568.0054089831</v>
      </c>
      <c r="E12" s="36" t="n">
        <f aca="false">IF($E$7=0,$B$6+$E$6*2*$D$6,$B$6*(1+$E$7/$D$6)^(2*$D$6)+$E$6*(((1+$E$7/$D$6)^(2*$D$6)-1)/($E$7/$D$6)))</f>
        <v>14066.1633322154</v>
      </c>
      <c r="F12" s="34" t="n">
        <f aca="false">C12-($B$6+$E$6*2*$D$6)</f>
        <v>687.852213098886</v>
      </c>
      <c r="G12" s="35" t="n">
        <f aca="false">D12-($B$6+$E$6*2*$D$6)</f>
        <v>1168.00540898311</v>
      </c>
      <c r="H12" s="36" t="n">
        <f aca="false">E12-($B$6+$E$6*2*$D$6)</f>
        <v>1666.16333221541</v>
      </c>
    </row>
    <row r="13" customFormat="false" ht="15.75" hidden="false" customHeight="true" outlineLevel="0" collapsed="false">
      <c r="B13" s="23" t="n">
        <v>3</v>
      </c>
      <c r="C13" s="34" t="n">
        <f aca="false">IF($C$7=0,$B$6+$E$6*3*$D$6,$B$6*(1+$C$7/$D$6)^(3*$D$6)+$E$6*(((1+$C$7/$D$6)^(3*$D$6)-1)/($C$7/$D$6)))</f>
        <v>14702.5700386431</v>
      </c>
      <c r="D13" s="35" t="n">
        <f aca="false">IF($D$7=0,$B$6+$E$6*3*$D$6,$B$6*(1+$D$7/$D$6)^(3*$D$6)+$E$6*(((1+$D$7/$D$6)^(3*$D$6)-1)/($D$7/$D$6)))</f>
        <v>15490.0558653379</v>
      </c>
      <c r="E13" s="36" t="n">
        <f aca="false">IF($E$7=0,$B$6+$E$6*3*$D$6,$B$6*(1+$E$7/$D$6)^(3*$D$6)+$E$6*(((1+$E$7/$D$6)^(3*$D$6)-1)/($E$7/$D$6)))</f>
        <v>16322.2659458023</v>
      </c>
      <c r="F13" s="34" t="n">
        <f aca="false">C13-($B$6+$E$6*3*$D$6)</f>
        <v>1102.57003864311</v>
      </c>
      <c r="G13" s="35" t="n">
        <f aca="false">D13-($B$6+$E$6*3*$D$6)</f>
        <v>1890.0558653379</v>
      </c>
      <c r="H13" s="36" t="n">
        <f aca="false">E13-($B$6+$E$6*3*$D$6)</f>
        <v>2722.26594580233</v>
      </c>
    </row>
    <row r="14" customFormat="false" ht="15.75" hidden="false" customHeight="true" outlineLevel="0" collapsed="false">
      <c r="B14" s="25" t="n">
        <v>4</v>
      </c>
      <c r="C14" s="34" t="n">
        <f aca="false">IF($C$7=0,$B$6+$E$6*4*$D$6,$B$6*(1+$C$7/$D$6)^(4*$D$6)+$E$6*(((1+$C$7/$D$6)^(4*$D$6)-1)/($C$7/$D$6)))</f>
        <v>16366.4010519966</v>
      </c>
      <c r="D14" s="35" t="n">
        <f aca="false">IF($D$7=0,$B$6+$E$6*4*$D$6,$B$6*(1+$D$7/$D$6)^(4*$D$6)+$E$6*(((1+$D$7/$D$6)^(4*$D$6)-1)/($D$7/$D$6)))</f>
        <v>17510.4420708643</v>
      </c>
      <c r="E14" s="36" t="n">
        <f aca="false">IF($E$7=0,$B$6+$E$6*4*$D$6,$B$6*(1+$E$7/$D$6)^(4*$D$6)+$E$6*(((1+$E$7/$D$6)^(4*$D$6)-1)/($E$7/$D$6)))</f>
        <v>18741.4623997454</v>
      </c>
      <c r="F14" s="34" t="n">
        <f aca="false">C14-($B$6+$E$6*4*$D$6)</f>
        <v>1566.40105199655</v>
      </c>
      <c r="G14" s="35" t="n">
        <f aca="false">D14-($B$6+$E$6*4*$D$6)</f>
        <v>2710.44207086425</v>
      </c>
      <c r="H14" s="36" t="n">
        <f aca="false">E14-($B$6+$E$6*4*$D$6)</f>
        <v>3941.46239974541</v>
      </c>
    </row>
    <row r="15" customFormat="false" ht="15.75" hidden="false" customHeight="true" outlineLevel="0" collapsed="false">
      <c r="B15" s="23" t="n">
        <v>5</v>
      </c>
      <c r="C15" s="34" t="n">
        <f aca="false">IF($C$7=0,$B$6+$E$6*5*$D$6,$B$6*(1+$C$7/$D$6)^(5*$D$6)+$E$6*(((1+$C$7/$D$6)^(5*$D$6)-1)/($C$7/$D$6)))</f>
        <v>18080.8390777635</v>
      </c>
      <c r="D15" s="35" t="n">
        <f aca="false">IF($D$7=0,$B$6+$E$6*5*$D$6,$B$6*(1+$D$7/$D$6)^(5*$D$6)+$E$6*(((1+$D$7/$D$6)^(5*$D$6)-1)/($D$7/$D$6)))</f>
        <v>19634.1950691194</v>
      </c>
      <c r="E15" s="36" t="n">
        <f aca="false">IF($E$7=0,$B$6+$E$6*5*$D$6,$B$6*(1+$E$7/$D$6)^(5*$D$6)+$E$6*(((1+$E$7/$D$6)^(5*$D$6)-1)/($E$7/$D$6)))</f>
        <v>21335.5427609512</v>
      </c>
      <c r="F15" s="34" t="n">
        <f aca="false">C15-($B$6+$E$6*5*$D$6)</f>
        <v>2080.83907776353</v>
      </c>
      <c r="G15" s="35" t="n">
        <f aca="false">D15-($B$6+$E$6*5*$D$6)</f>
        <v>3634.1950691194</v>
      </c>
      <c r="H15" s="36" t="n">
        <f aca="false">E15-($B$6+$E$6*5*$D$6)</f>
        <v>5335.54276095116</v>
      </c>
    </row>
    <row r="16" customFormat="false" ht="15.75" hidden="false" customHeight="true" outlineLevel="0" collapsed="false">
      <c r="B16" s="25" t="n">
        <v>6</v>
      </c>
      <c r="C16" s="34" t="n">
        <f aca="false">IF($C$7=0,$B$6+$E$6*6*$D$6,$B$6*(1+$C$7/$D$6)^(6*$D$6)+$E$6*(((1+$C$7/$D$6)^(6*$D$6)-1)/($C$7/$D$6)))</f>
        <v>19847.4233766531</v>
      </c>
      <c r="D16" s="35" t="n">
        <f aca="false">IF($D$7=0,$B$6+$E$6*6*$D$6,$B$6*(1+$D$7/$D$6)^(6*$D$6)+$E$6*(((1+$D$7/$D$6)^(6*$D$6)-1)/($D$7/$D$6)))</f>
        <v>21866.6033013973</v>
      </c>
      <c r="E16" s="36" t="n">
        <f aca="false">IF($E$7=0,$B$6+$E$6*6*$D$6,$B$6*(1+$E$7/$D$6)^(6*$D$6)+$E$6*(((1+$E$7/$D$6)^(6*$D$6)-1)/($E$7/$D$6)))</f>
        <v>24117.149401216</v>
      </c>
      <c r="F16" s="34" t="n">
        <f aca="false">C16-($B$6+$E$6*6*$D$6)</f>
        <v>2647.42337665309</v>
      </c>
      <c r="G16" s="35" t="n">
        <f aca="false">D16-($B$6+$E$6*6*$D$6)</f>
        <v>4666.60330139731</v>
      </c>
      <c r="H16" s="36" t="n">
        <f aca="false">E16-($B$6+$E$6*6*$D$6)</f>
        <v>6917.14940121605</v>
      </c>
    </row>
    <row r="17" customFormat="false" ht="15.75" hidden="false" customHeight="true" outlineLevel="0" collapsed="false">
      <c r="B17" s="23" t="n">
        <v>7</v>
      </c>
      <c r="C17" s="34" t="n">
        <f aca="false">IF($C$7=0,$B$6+$E$6*7*$D$6,$B$6*(1+$C$7/$D$6)^(7*$D$6)+$E$6*(((1+$C$7/$D$6)^(7*$D$6)-1)/($C$7/$D$6)))</f>
        <v>21667.7400274618</v>
      </c>
      <c r="D17" s="35" t="n">
        <f aca="false">IF($D$7=0,$B$6+$E$6*7*$D$6,$B$6*(1+$D$7/$D$6)^(7*$D$6)+$E$6*(((1+$D$7/$D$6)^(7*$D$6)-1)/($D$7/$D$6)))</f>
        <v>24213.2257756854</v>
      </c>
      <c r="E17" s="36" t="n">
        <f aca="false">IF($E$7=0,$B$6+$E$6*7*$D$6,$B$6*(1+$E$7/$D$6)^(7*$D$6)+$E$6*(((1+$E$7/$D$6)^(7*$D$6)-1)/($E$7/$D$6)))</f>
        <v>27099.8386104159</v>
      </c>
      <c r="F17" s="34" t="n">
        <f aca="false">C17-($B$6+$E$6*7*$D$6)</f>
        <v>3267.74002746176</v>
      </c>
      <c r="G17" s="35" t="n">
        <f aca="false">D17-($B$6+$E$6*7*$D$6)</f>
        <v>5813.22577568535</v>
      </c>
      <c r="H17" s="36" t="n">
        <f aca="false">E17-($B$6+$E$6*7*$D$6)</f>
        <v>8699.83861041592</v>
      </c>
    </row>
    <row r="18" customFormat="false" ht="15.75" hidden="false" customHeight="true" outlineLevel="0" collapsed="false">
      <c r="B18" s="25" t="n">
        <v>8</v>
      </c>
      <c r="C18" s="34" t="n">
        <f aca="false">IF($C$7=0,$B$6+$E$6*8*$D$6,$B$6*(1+$C$7/$D$6)^(8*$D$6)+$E$6*(((1+$C$7/$D$6)^(8*$D$6)-1)/($C$7/$D$6)))</f>
        <v>23543.4233510904</v>
      </c>
      <c r="D18" s="35" t="n">
        <f aca="false">IF($D$7=0,$B$6+$E$6*8*$D$6,$B$6*(1+$D$7/$D$6)^(8*$D$6)+$E$6*(((1+$D$7/$D$6)^(8*$D$6)-1)/($D$7/$D$6)))</f>
        <v>26679.9059093699</v>
      </c>
      <c r="E18" s="36" t="n">
        <f aca="false">IF($E$7=0,$B$6+$E$6*8*$D$6,$B$6*(1+$E$7/$D$6)^(8*$D$6)+$E$6*(((1+$E$7/$D$6)^(8*$D$6)-1)/($E$7/$D$6)))</f>
        <v>30298.1466637179</v>
      </c>
      <c r="F18" s="34" t="n">
        <f aca="false">C18-($B$6+$E$6*8*$D$6)</f>
        <v>3943.42335109037</v>
      </c>
      <c r="G18" s="35" t="n">
        <f aca="false">D18-($B$6+$E$6*8*$D$6)</f>
        <v>7079.9059093699</v>
      </c>
      <c r="H18" s="36" t="n">
        <f aca="false">E18-($B$6+$E$6*8*$D$6)</f>
        <v>10698.1466637179</v>
      </c>
    </row>
    <row r="19" customFormat="false" ht="15.75" hidden="false" customHeight="true" outlineLevel="0" collapsed="false">
      <c r="B19" s="23" t="n">
        <v>9</v>
      </c>
      <c r="C19" s="34" t="n">
        <f aca="false">IF($C$7=0,$B$6+$E$6*9*$D$6,$B$6*(1+$C$7/$D$6)^(9*$D$6)+$E$6*(((1+$C$7/$D$6)^(9*$D$6)-1)/($C$7/$D$6)))</f>
        <v>25476.1573778738</v>
      </c>
      <c r="D19" s="35" t="n">
        <f aca="false">IF($D$7=0,$B$6+$E$6*9*$D$6,$B$6*(1+$D$7/$D$6)^(9*$D$6)+$E$6*(((1+$D$7/$D$6)^(9*$D$6)-1)/($D$7/$D$6)))</f>
        <v>29272.7860801609</v>
      </c>
      <c r="E19" s="36" t="n">
        <f aca="false">IF($E$7=0,$B$6+$E$6*9*$D$6,$B$6*(1+$E$7/$D$6)^(9*$D$6)+$E$6*(((1+$E$7/$D$6)^(9*$D$6)-1)/($E$7/$D$6)))</f>
        <v>33727.6606647962</v>
      </c>
      <c r="F19" s="34" t="n">
        <f aca="false">C19-($B$6+$E$6*9*$D$6)</f>
        <v>4676.15737787385</v>
      </c>
      <c r="G19" s="35" t="n">
        <f aca="false">D19-($B$6+$E$6*9*$D$6)</f>
        <v>8472.78608016092</v>
      </c>
      <c r="H19" s="36" t="n">
        <f aca="false">E19-($B$6+$E$6*9*$D$6)</f>
        <v>12927.6606647962</v>
      </c>
    </row>
    <row r="20" customFormat="false" ht="15.75" hidden="false" customHeight="true" outlineLevel="0" collapsed="false">
      <c r="B20" s="25" t="n">
        <v>10</v>
      </c>
      <c r="C20" s="34" t="n">
        <f aca="false">IF($C$7=0,$B$6+$E$6*10*$D$6,$B$6*(1+$C$7/$D$6)^(10*$D$6)+$E$6*(((1+$C$7/$D$6)^(10*$D$6)-1)/($C$7/$D$6)))</f>
        <v>27467.6773595412</v>
      </c>
      <c r="D20" s="35" t="n">
        <f aca="false">IF($D$7=0,$B$6+$E$6*10*$D$6,$B$6*(1+$D$7/$D$6)^(10*$D$6)+$E$6*(((1+$D$7/$D$6)^(10*$D$6)-1)/($D$7/$D$6)))</f>
        <v>31998.3229214695</v>
      </c>
      <c r="E20" s="36" t="n">
        <f aca="false">IF($E$7=0,$B$6+$E$6*10*$D$6,$B$6*(1+$E$7/$D$6)^(10*$D$6)+$E$6*(((1+$E$7/$D$6)^(10*$D$6)-1)/($E$7/$D$6)))</f>
        <v>37405.09451031</v>
      </c>
      <c r="F20" s="34" t="n">
        <f aca="false">C20-($B$6+$E$6*10*$D$6)</f>
        <v>5467.67735954123</v>
      </c>
      <c r="G20" s="35" t="n">
        <f aca="false">D20-($B$6+$E$6*10*$D$6)</f>
        <v>9998.32292146952</v>
      </c>
      <c r="H20" s="36" t="n">
        <f aca="false">E20-($B$6+$E$6*10*$D$6)</f>
        <v>15405.09451031</v>
      </c>
    </row>
    <row r="21" customFormat="false" ht="15.75" hidden="false" customHeight="true" outlineLevel="0" collapsed="false">
      <c r="B21" s="23" t="n">
        <v>11</v>
      </c>
      <c r="C21" s="34" t="n">
        <f aca="false">IF($C$7=0,$B$6+$E$6*11*$D$6,$B$6*(1+$C$7/$D$6)^(11*$D$6)+$E$6*(((1+$C$7/$D$6)^(11*$D$6)-1)/($C$7/$D$6)))</f>
        <v>29519.7713271634</v>
      </c>
      <c r="D21" s="35" t="n">
        <f aca="false">IF($D$7=0,$B$6+$E$6*11*$D$6,$B$6*(1+$D$7/$D$6)^(11*$D$6)+$E$6*(((1+$D$7/$D$6)^(11*$D$6)-1)/($D$7/$D$6)))</f>
        <v>34863.3034003261</v>
      </c>
      <c r="E21" s="36" t="n">
        <f aca="false">IF($E$7=0,$B$6+$E$6*11*$D$6,$B$6*(1+$E$7/$D$6)^(11*$D$6)+$E$6*(((1+$E$7/$D$6)^(11*$D$6)-1)/($E$7/$D$6)))</f>
        <v>41348.3703458595</v>
      </c>
      <c r="F21" s="34" t="n">
        <f aca="false">C21-($B$6+$E$6*11*$D$6)</f>
        <v>6319.77132716341</v>
      </c>
      <c r="G21" s="35" t="n">
        <f aca="false">D21-($B$6+$E$6*11*$D$6)</f>
        <v>11663.3034003261</v>
      </c>
      <c r="H21" s="36" t="n">
        <f aca="false">E21-($B$6+$E$6*11*$D$6)</f>
        <v>18148.3703458595</v>
      </c>
    </row>
    <row r="22" customFormat="false" ht="15.75" hidden="false" customHeight="true" outlineLevel="0" collapsed="false">
      <c r="B22" s="25" t="n">
        <v>12</v>
      </c>
      <c r="C22" s="34" t="n">
        <f aca="false">IF($C$7=0,$B$6+$E$6*12*$D$6,$B$6*(1+$C$7/$D$6)^(12*$D$6)+$E$6*(((1+$C$7/$D$6)^(12*$D$6)-1)/($C$7/$D$6)))</f>
        <v>31634.2816964872</v>
      </c>
      <c r="D22" s="35" t="n">
        <f aca="false">IF($D$7=0,$B$6+$E$6*12*$D$6,$B$6*(1+$D$7/$D$6)^(12*$D$6)+$E$6*(((1+$D$7/$D$6)^(12*$D$6)-1)/($D$7/$D$6)))</f>
        <v>37874.861717875</v>
      </c>
      <c r="E22" s="36" t="n">
        <f aca="false">IF($E$7=0,$B$6+$E$6*12*$D$6,$B$6*(1+$E$7/$D$6)^(12*$D$6)+$E$6*(((1+$E$7/$D$6)^(12*$D$6)-1)/($E$7/$D$6)))</f>
        <v>45576.7059103994</v>
      </c>
      <c r="F22" s="34" t="n">
        <f aca="false">C22-($B$6+$E$6*12*$D$6)</f>
        <v>7234.28169648725</v>
      </c>
      <c r="G22" s="35" t="n">
        <f aca="false">D22-($B$6+$E$6*12*$D$6)</f>
        <v>13474.861717875</v>
      </c>
      <c r="H22" s="36" t="n">
        <f aca="false">E22-($B$6+$E$6*12*$D$6)</f>
        <v>21176.7059103994</v>
      </c>
    </row>
    <row r="23" customFormat="false" ht="15.75" hidden="false" customHeight="true" outlineLevel="0" collapsed="false">
      <c r="B23" s="23" t="n">
        <v>13</v>
      </c>
      <c r="C23" s="34" t="n">
        <f aca="false">IF($C$7=0,$B$6+$E$6*13*$D$6,$B$6*(1+$C$7/$D$6)^(13*$D$6)+$E$6*(((1+$C$7/$D$6)^(13*$D$6)-1)/($C$7/$D$6)))</f>
        <v>33813.1069220976</v>
      </c>
      <c r="D23" s="35" t="n">
        <f aca="false">IF($D$7=0,$B$6+$E$6*13*$D$6,$B$6*(1+$D$7/$D$6)^(13*$D$6)+$E$6*(((1+$D$7/$D$6)^(13*$D$6)-1)/($D$7/$D$6)))</f>
        <v>41040.4970745313</v>
      </c>
      <c r="E23" s="36" t="n">
        <f aca="false">IF($E$7=0,$B$6+$E$6*13*$D$6,$B$6*(1+$E$7/$D$6)^(13*$D$6)+$E$6*(((1+$E$7/$D$6)^(13*$D$6)-1)/($E$7/$D$6)))</f>
        <v>50110.7081947871</v>
      </c>
      <c r="F23" s="34" t="n">
        <f aca="false">C23-($B$6+$E$6*13*$D$6)</f>
        <v>8213.10692209761</v>
      </c>
      <c r="G23" s="35" t="n">
        <f aca="false">D23-($B$6+$E$6*13*$D$6)</f>
        <v>15440.4970745313</v>
      </c>
      <c r="H23" s="36" t="n">
        <f aca="false">E23-($B$6+$E$6*13*$D$6)</f>
        <v>24510.7081947871</v>
      </c>
    </row>
    <row r="24" customFormat="false" ht="15.75" hidden="false" customHeight="true" outlineLevel="0" collapsed="false">
      <c r="B24" s="25" t="n">
        <v>14</v>
      </c>
      <c r="C24" s="34" t="n">
        <f aca="false">IF($C$7=0,$B$6+$E$6*14*$D$6,$B$6*(1+$C$7/$D$6)^(14*$D$6)+$E$6*(((1+$C$7/$D$6)^(14*$D$6)-1)/($C$7/$D$6)))</f>
        <v>36058.2032018922</v>
      </c>
      <c r="D24" s="35" t="n">
        <f aca="false">IF($D$7=0,$B$6+$E$6*14*$D$6,$B$6*(1+$D$7/$D$6)^(14*$D$6)+$E$6*(((1+$D$7/$D$6)^(14*$D$6)-1)/($D$7/$D$6)))</f>
        <v>44368.0923440356</v>
      </c>
      <c r="E24" s="36" t="n">
        <f aca="false">IF($E$7=0,$B$6+$E$6*14*$D$6,$B$6*(1+$E$7/$D$6)^(14*$D$6)+$E$6*(((1+$E$7/$D$6)^(14*$D$6)-1)/($E$7/$D$6)))</f>
        <v>54972.4738709155</v>
      </c>
      <c r="F24" s="34" t="n">
        <f aca="false">C24-($B$6+$E$6*14*$D$6)</f>
        <v>9258.20320189218</v>
      </c>
      <c r="G24" s="35" t="n">
        <f aca="false">D24-($B$6+$E$6*14*$D$6)</f>
        <v>17568.0923440356</v>
      </c>
      <c r="H24" s="36" t="n">
        <f aca="false">E24-($B$6+$E$6*14*$D$6)</f>
        <v>28172.4738709155</v>
      </c>
    </row>
    <row r="25" customFormat="false" ht="15.75" hidden="false" customHeight="true" outlineLevel="0" collapsed="false">
      <c r="B25" s="23" t="n">
        <v>15</v>
      </c>
      <c r="C25" s="34" t="n">
        <f aca="false">IF($C$7=0,$B$6+$E$6*15*$D$6,$B$6*(1+$C$7/$D$6)^(15*$D$6)+$E$6*(((1+$C$7/$D$6)^(15*$D$6)-1)/($C$7/$D$6)))</f>
        <v>38371.5862333997</v>
      </c>
      <c r="D25" s="35" t="n">
        <f aca="false">IF($D$7=0,$B$6+$E$6*15*$D$6,$B$6*(1+$D$7/$D$6)^(15*$D$6)+$E$6*(((1+$D$7/$D$6)^(15*$D$6)-1)/($D$7/$D$6)))</f>
        <v>47865.93370291</v>
      </c>
      <c r="E25" s="36" t="n">
        <f aca="false">IF($E$7=0,$B$6+$E$6*15*$D$6,$B$6*(1+$E$7/$D$6)^(15*$D$6)+$E$6*(((1+$E$7/$D$6)^(15*$D$6)-1)/($E$7/$D$6)))</f>
        <v>60185.6969808754</v>
      </c>
      <c r="F25" s="34" t="n">
        <f aca="false">C25-($B$6+$E$6*15*$D$6)</f>
        <v>10371.5862333997</v>
      </c>
      <c r="G25" s="35" t="n">
        <f aca="false">D25-($B$6+$E$6*15*$D$6)</f>
        <v>19865.93370291</v>
      </c>
      <c r="H25" s="36" t="n">
        <f aca="false">E25-($B$6+$E$6*15*$D$6)</f>
        <v>32185.6969808754</v>
      </c>
    </row>
    <row r="26" customFormat="false" ht="15.75" hidden="false" customHeight="true" outlineLevel="0" collapsed="false">
      <c r="B26" s="25" t="n">
        <v>16</v>
      </c>
      <c r="C26" s="34" t="n">
        <f aca="false">IF($C$7=0,$B$6+$E$6*16*$D$6,$B$6*(1+$C$7/$D$6)^(16*$D$6)+$E$6*(((1+$C$7/$D$6)^(16*$D$6)-1)/($C$7/$D$6)))</f>
        <v>40755.3330235179</v>
      </c>
      <c r="D26" s="35" t="n">
        <f aca="false">IF($D$7=0,$B$6+$E$6*16*$D$6,$B$6*(1+$D$7/$D$6)^(16*$D$6)+$E$6*(((1+$D$7/$D$6)^(16*$D$6)-1)/($D$7/$D$6)))</f>
        <v>51542.7312641937</v>
      </c>
      <c r="E26" s="36" t="n">
        <f aca="false">IF($E$7=0,$B$6+$E$6*16*$D$6,$B$6*(1+$E$7/$D$6)^(16*$D$6)+$E$6*(((1+$E$7/$D$6)^(16*$D$6)-1)/($E$7/$D$6)))</f>
        <v>65775.7844109758</v>
      </c>
      <c r="F26" s="34" t="n">
        <f aca="false">C26-($B$6+$E$6*16*$D$6)</f>
        <v>11555.3330235179</v>
      </c>
      <c r="G26" s="35" t="n">
        <f aca="false">D26-($B$6+$E$6*16*$D$6)</f>
        <v>22342.7312641937</v>
      </c>
      <c r="H26" s="36" t="n">
        <f aca="false">E26-($B$6+$E$6*16*$D$6)</f>
        <v>36575.7844109758</v>
      </c>
    </row>
    <row r="27" customFormat="false" ht="15.75" hidden="false" customHeight="true" outlineLevel="0" collapsed="false">
      <c r="B27" s="23" t="n">
        <v>17</v>
      </c>
      <c r="C27" s="34" t="n">
        <f aca="false">IF($C$7=0,$B$6+$E$6*17*$D$6,$B$6*(1+$C$7/$D$6)^(17*$D$6)+$E$6*(((1+$C$7/$D$6)^(17*$D$6)-1)/($C$7/$D$6)))</f>
        <v>43211.5837532971</v>
      </c>
      <c r="D27" s="35" t="n">
        <f aca="false">IF($D$7=0,$B$6+$E$6*17*$D$6,$B$6*(1+$D$7/$D$6)^(17*$D$6)+$E$6*(((1+$D$7/$D$6)^(17*$D$6)-1)/($D$7/$D$6)))</f>
        <v>55407.6407668396</v>
      </c>
      <c r="E27" s="36" t="n">
        <f aca="false">IF($E$7=0,$B$6+$E$6*17*$D$6,$B$6*(1+$E$7/$D$6)^(17*$D$6)+$E$6*(((1+$E$7/$D$6)^(17*$D$6)-1)/($E$7/$D$6)))</f>
        <v>71769.9797133916</v>
      </c>
      <c r="F27" s="34" t="n">
        <f aca="false">C27-($B$6+$E$6*17*$D$6)</f>
        <v>12811.5837532971</v>
      </c>
      <c r="G27" s="35" t="n">
        <f aca="false">D27-($B$6+$E$6*17*$D$6)</f>
        <v>25007.6407668396</v>
      </c>
      <c r="H27" s="36" t="n">
        <f aca="false">E27-($B$6+$E$6*17*$D$6)</f>
        <v>41369.9797133916</v>
      </c>
    </row>
    <row r="28" customFormat="false" ht="15.75" hidden="false" customHeight="true" outlineLevel="0" collapsed="false">
      <c r="B28" s="25" t="n">
        <v>18</v>
      </c>
      <c r="C28" s="34" t="n">
        <f aca="false">IF($C$7=0,$B$6+$E$6*18*$D$6,$B$6*(1+$C$7/$D$6)^(18*$D$6)+$E$6*(((1+$C$7/$D$6)^(18*$D$6)-1)/($C$7/$D$6)))</f>
        <v>45742.5436994421</v>
      </c>
      <c r="D28" s="35" t="n">
        <f aca="false">IF($D$7=0,$B$6+$E$6*18*$D$6,$B$6*(1+$D$7/$D$6)^(18*$D$6)+$E$6*(((1+$D$7/$D$6)^(18*$D$6)-1)/($D$7/$D$6)))</f>
        <v>59470.286374782</v>
      </c>
      <c r="E28" s="36" t="n">
        <f aca="false">IF($E$7=0,$B$6+$E$6*18*$D$6,$B$6*(1+$E$7/$D$6)^(18*$D$6)+$E$6*(((1+$E$7/$D$6)^(18*$D$6)-1)/($E$7/$D$6)))</f>
        <v>78197.4958788872</v>
      </c>
      <c r="F28" s="34" t="n">
        <f aca="false">C28-($B$6+$E$6*18*$D$6)</f>
        <v>14142.5436994421</v>
      </c>
      <c r="G28" s="35" t="n">
        <f aca="false">D28-($B$6+$E$6*18*$D$6)</f>
        <v>27870.286374782</v>
      </c>
      <c r="H28" s="36" t="n">
        <f aca="false">E28-($B$6+$E$6*18*$D$6)</f>
        <v>46597.4958788872</v>
      </c>
    </row>
    <row r="29" customFormat="false" ht="15.75" hidden="false" customHeight="true" outlineLevel="0" collapsed="false">
      <c r="B29" s="23" t="n">
        <v>19</v>
      </c>
      <c r="C29" s="34" t="n">
        <f aca="false">IF($C$7=0,$B$6+$E$6*19*$D$6,$B$6*(1+$C$7/$D$6)^(19*$D$6)+$E$6*(((1+$C$7/$D$6)^(19*$D$6)-1)/($C$7/$D$6)))</f>
        <v>48350.4852142588</v>
      </c>
      <c r="D29" s="35" t="n">
        <f aca="false">IF($D$7=0,$B$6+$E$6*19*$D$6,$B$6*(1+$D$7/$D$6)^(19*$D$6)+$E$6*(((1+$D$7/$D$6)^(19*$D$6)-1)/($D$7/$D$6)))</f>
        <v>63740.7846424476</v>
      </c>
      <c r="E29" s="36" t="n">
        <f aca="false">IF($E$7=0,$B$6+$E$6*19*$D$6,$B$6*(1+$E$7/$D$6)^(19*$D$6)+$E$6*(((1+$E$7/$D$6)^(19*$D$6)-1)/($E$7/$D$6)))</f>
        <v>85089.6577076912</v>
      </c>
      <c r="F29" s="34" t="n">
        <f aca="false">C29-($B$6+$E$6*19*$D$6)</f>
        <v>15550.4852142588</v>
      </c>
      <c r="G29" s="35" t="n">
        <f aca="false">D29-($B$6+$E$6*19*$D$6)</f>
        <v>30940.7846424476</v>
      </c>
      <c r="H29" s="36" t="n">
        <f aca="false">E29-($B$6+$E$6*19*$D$6)</f>
        <v>52289.6577076912</v>
      </c>
    </row>
    <row r="30" customFormat="false" ht="15.75" hidden="false" customHeight="true" outlineLevel="0" collapsed="false">
      <c r="B30" s="25" t="n">
        <v>20</v>
      </c>
      <c r="C30" s="34" t="n">
        <f aca="false">IF($C$7=0,$B$6+$E$6*20*$D$6,$B$6*(1+$C$7/$D$6)^(20*$D$6)+$E$6*(((1+$C$7/$D$6)^(20*$D$6)-1)/($C$7/$D$6)))</f>
        <v>51037.7497658231</v>
      </c>
      <c r="D30" s="35" t="n">
        <f aca="false">IF($D$7=0,$B$6+$E$6*20*$D$6,$B$6*(1+$D$7/$D$6)^(20*$D$6)+$E$6*(((1+$D$7/$D$6)^(20*$D$6)-1)/($D$7/$D$6)))</f>
        <v>68229.7697063876</v>
      </c>
      <c r="E30" s="36" t="n">
        <f aca="false">IF($E$7=0,$B$6+$E$6*20*$D$6,$B$6*(1+$E$7/$D$6)^(20*$D$6)+$E$6*(((1+$E$7/$D$6)^(20*$D$6)-1)/($E$7/$D$6)))</f>
        <v>92480.0544723736</v>
      </c>
      <c r="F30" s="34" t="n">
        <f aca="false">C30-($B$6+$E$6*20*$D$6)</f>
        <v>17037.7497658231</v>
      </c>
      <c r="G30" s="35" t="n">
        <f aca="false">D30-($B$6+$E$6*20*$D$6)</f>
        <v>34229.7697063876</v>
      </c>
      <c r="H30" s="36" t="n">
        <f aca="false">E30-($B$6+$E$6*20*$D$6)</f>
        <v>58480.0544723736</v>
      </c>
    </row>
    <row r="31" customFormat="false" ht="15.75" hidden="false" customHeight="true" outlineLevel="0" collapsed="false">
      <c r="B31" s="23" t="n">
        <v>21</v>
      </c>
      <c r="C31" s="34" t="n">
        <f aca="false">IF($C$7=0,$B$6+$E$6*21*$D$6,$B$6*(1+$C$7/$D$6)^(21*$D$6)+$E$6*(((1+$C$7/$D$6)^(21*$D$6)-1)/($C$7/$D$6)))</f>
        <v>53806.7500402029</v>
      </c>
      <c r="D31" s="35" t="n">
        <f aca="false">IF($D$7=0,$B$6+$E$6*21*$D$6,$B$6*(1+$D$7/$D$6)^(21*$D$6)+$E$6*(((1+$D$7/$D$6)^(21*$D$6)-1)/($D$7/$D$6)))</f>
        <v>72948.4197657616</v>
      </c>
      <c r="E31" s="36" t="n">
        <f aca="false">IF($E$7=0,$B$6+$E$6*21*$D$6,$B$6*(1+$E$7/$D$6)^(21*$D$6)+$E$6*(((1+$E$7/$D$6)^(21*$D$6)-1)/($E$7/$D$6)))</f>
        <v>100404.703616735</v>
      </c>
      <c r="F31" s="34" t="n">
        <f aca="false">C31-($B$6+$E$6*21*$D$6)</f>
        <v>18606.7500402029</v>
      </c>
      <c r="G31" s="35" t="n">
        <f aca="false">D31-($B$6+$E$6*21*$D$6)</f>
        <v>37748.4197657616</v>
      </c>
      <c r="H31" s="36" t="n">
        <f aca="false">E31-($B$6+$E$6*21*$D$6)</f>
        <v>65204.7036167347</v>
      </c>
    </row>
    <row r="32" customFormat="false" ht="15.75" hidden="false" customHeight="true" outlineLevel="0" collapsed="false">
      <c r="B32" s="25" t="n">
        <v>22</v>
      </c>
      <c r="C32" s="34" t="n">
        <f aca="false">IF($C$7=0,$B$6+$E$6*22*$D$6,$B$6*(1+$C$7/$D$6)^(22*$D$6)+$E$6*(((1+$C$7/$D$6)^(22*$D$6)-1)/($C$7/$D$6)))</f>
        <v>56659.9721076218</v>
      </c>
      <c r="D32" s="35" t="n">
        <f aca="false">IF($D$7=0,$B$6+$E$6*22*$D$6,$B$6*(1+$D$7/$D$6)^(22*$D$6)+$E$6*(((1+$D$7/$D$6)^(22*$D$6)-1)/($D$7/$D$6)))</f>
        <v>77908.4849176129</v>
      </c>
      <c r="E32" s="36" t="n">
        <f aca="false">IF($E$7=0,$B$6+$E$6*22*$D$6,$B$6*(1+$E$7/$D$6)^(22*$D$6)+$E$6*(((1+$E$7/$D$6)^(22*$D$6)-1)/($E$7/$D$6)))</f>
        <v>108902.226288499</v>
      </c>
      <c r="F32" s="34" t="n">
        <f aca="false">C32-($B$6+$E$6*22*$D$6)</f>
        <v>20259.9721076218</v>
      </c>
      <c r="G32" s="35" t="n">
        <f aca="false">D32-($B$6+$E$6*22*$D$6)</f>
        <v>41508.4849176129</v>
      </c>
      <c r="H32" s="36" t="n">
        <f aca="false">E32-($B$6+$E$6*22*$D$6)</f>
        <v>72502.2262884989</v>
      </c>
    </row>
    <row r="33" customFormat="false" ht="15.75" hidden="false" customHeight="true" outlineLevel="0" collapsed="false">
      <c r="B33" s="23" t="n">
        <v>23</v>
      </c>
      <c r="C33" s="34" t="n">
        <f aca="false">IF($C$7=0,$B$6+$E$6*23*$D$6,$B$6*(1+$C$7/$D$6)^(23*$D$6)+$E$6*(((1+$C$7/$D$6)^(23*$D$6)-1)/($C$7/$D$6)))</f>
        <v>59599.977654508</v>
      </c>
      <c r="D33" s="35" t="n">
        <f aca="false">IF($D$7=0,$B$6+$E$6*23*$D$6,$B$6*(1+$D$7/$D$6)^(23*$D$6)+$E$6*(((1+$D$7/$D$6)^(23*$D$6)-1)/($D$7/$D$6)))</f>
        <v>83122.3164162499</v>
      </c>
      <c r="E33" s="36" t="n">
        <f aca="false">IF($E$7=0,$B$6+$E$6*23*$D$6,$B$6*(1+$E$7/$D$6)^(23*$D$6)+$E$6*(((1+$E$7/$D$6)^(23*$D$6)-1)/($E$7/$D$6)))</f>
        <v>118014.035561283</v>
      </c>
      <c r="F33" s="34" t="n">
        <f aca="false">C33-($B$6+$E$6*23*$D$6)</f>
        <v>21999.977654508</v>
      </c>
      <c r="G33" s="35" t="n">
        <f aca="false">D33-($B$6+$E$6*23*$D$6)</f>
        <v>45522.3164162499</v>
      </c>
      <c r="H33" s="36" t="n">
        <f aca="false">E33-($B$6+$E$6*23*$D$6)</f>
        <v>80414.0355612826</v>
      </c>
    </row>
    <row r="34" customFormat="false" ht="15.75" hidden="false" customHeight="true" outlineLevel="0" collapsed="false">
      <c r="B34" s="25" t="n">
        <v>24</v>
      </c>
      <c r="C34" s="34" t="n">
        <f aca="false">IF($C$7=0,$B$6+$E$6*24*$D$6,$B$6*(1+$C$7/$D$6)^(24*$D$6)+$E$6*(((1+$C$7/$D$6)^(24*$D$6)-1)/($C$7/$D$6)))</f>
        <v>62629.4062834338</v>
      </c>
      <c r="D34" s="35" t="n">
        <f aca="false">IF($D$7=0,$B$6+$E$6*24*$D$6,$B$6*(1+$D$7/$D$6)^(24*$D$6)+$E$6*(((1+$D$7/$D$6)^(24*$D$6)-1)/($D$7/$D$6)))</f>
        <v>88602.8974295928</v>
      </c>
      <c r="E34" s="36" t="n">
        <f aca="false">IF($E$7=0,$B$6+$E$6*24*$D$6,$B$6*(1+$E$7/$D$6)^(24*$D$6)+$E$6*(((1+$E$7/$D$6)^(24*$D$6)-1)/($E$7/$D$6)))</f>
        <v>127784.538263142</v>
      </c>
      <c r="F34" s="34" t="n">
        <f aca="false">C34-($B$6+$E$6*24*$D$6)</f>
        <v>23829.4062834338</v>
      </c>
      <c r="G34" s="35" t="n">
        <f aca="false">D34-($B$6+$E$6*24*$D$6)</f>
        <v>49802.8974295928</v>
      </c>
      <c r="H34" s="36" t="n">
        <f aca="false">E34-($B$6+$E$6*24*$D$6)</f>
        <v>88984.5382631425</v>
      </c>
    </row>
    <row r="35" customFormat="false" ht="15.75" hidden="false" customHeight="true" outlineLevel="0" collapsed="false">
      <c r="B35" s="23" t="n">
        <v>25</v>
      </c>
      <c r="C35" s="34" t="n">
        <f aca="false">IF($C$7=0,$B$6+$E$6*25*$D$6,$B$6*(1+$C$7/$D$6)^(25*$D$6)+$E$6*(((1+$C$7/$D$6)^(25*$D$6)-1)/($C$7/$D$6)))</f>
        <v>65750.9778830095</v>
      </c>
      <c r="D35" s="35" t="n">
        <f aca="false">IF($D$7=0,$B$6+$E$6*25*$D$6,$B$6*(1+$D$7/$D$6)^(25*$D$6)+$E$6*(((1+$D$7/$D$6)^(25*$D$6)-1)/($D$7/$D$6)))</f>
        <v>94363.8753690728</v>
      </c>
      <c r="E35" s="36" t="n">
        <f aca="false">IF($E$7=0,$B$6+$E$6*25*$D$6,$B$6*(1+$E$7/$D$6)^(25*$D$6)+$E$6*(((1+$E$7/$D$6)^(25*$D$6)-1)/($E$7/$D$6)))</f>
        <v>138261.351395326</v>
      </c>
      <c r="F35" s="34" t="n">
        <f aca="false">C35-($B$6+$E$6*25*$D$6)</f>
        <v>25750.9778830095</v>
      </c>
      <c r="G35" s="35" t="n">
        <f aca="false">D35-($B$6+$E$6*25*$D$6)</f>
        <v>54363.8753690728</v>
      </c>
      <c r="H35" s="36" t="n">
        <f aca="false">E35-($B$6+$E$6*25*$D$6)</f>
        <v>98261.3513953259</v>
      </c>
    </row>
    <row r="36" customFormat="false" ht="15.75" hidden="false" customHeight="true" outlineLevel="0" collapsed="false">
      <c r="B36" s="25" t="n">
        <v>26</v>
      </c>
      <c r="C36" s="34" t="n">
        <f aca="false">IF($C$7=0,$B$6+$E$6*26*$D$6,$B$6*(1+$C$7/$D$6)^(26*$D$6)+$E$6*(((1+$C$7/$D$6)^(26*$D$6)-1)/($C$7/$D$6)))</f>
        <v>68967.4950698603</v>
      </c>
      <c r="D36" s="35" t="n">
        <f aca="false">IF($D$7=0,$B$6+$E$6*26*$D$6,$B$6*(1+$D$7/$D$6)^(26*$D$6)+$E$6*(((1+$D$7/$D$6)^(26*$D$6)-1)/($D$7/$D$6)))</f>
        <v>100419.595873592</v>
      </c>
      <c r="E36" s="36" t="n">
        <f aca="false">IF($E$7=0,$B$6+$E$6*26*$D$6,$B$6*(1+$E$7/$D$6)^(26*$D$6)+$E$6*(((1+$E$7/$D$6)^(26*$D$6)-1)/($E$7/$D$6)))</f>
        <v>149495.534195951</v>
      </c>
      <c r="F36" s="34" t="n">
        <f aca="false">C36-($B$6+$E$6*26*$D$6)</f>
        <v>27767.4950698603</v>
      </c>
      <c r="G36" s="35" t="n">
        <f aca="false">D36-($B$6+$E$6*26*$D$6)</f>
        <v>59219.5958735915</v>
      </c>
      <c r="H36" s="36" t="n">
        <f aca="false">E36-($B$6+$E$6*26*$D$6)</f>
        <v>108295.53419595</v>
      </c>
    </row>
    <row r="37" customFormat="false" ht="15.75" hidden="false" customHeight="true" outlineLevel="0" collapsed="false">
      <c r="B37" s="23" t="n">
        <v>27</v>
      </c>
      <c r="C37" s="34" t="n">
        <f aca="false">IF($C$7=0,$B$6+$E$6*27*$D$6,$B$6*(1+$C$7/$D$6)^(27*$D$6)+$E$6*(((1+$C$7/$D$6)^(27*$D$6)-1)/($C$7/$D$6)))</f>
        <v>72281.8457048779</v>
      </c>
      <c r="D37" s="35" t="n">
        <f aca="false">IF($D$7=0,$B$6+$E$6*27*$D$6,$B$6*(1+$D$7/$D$6)^(27*$D$6)+$E$6*(((1+$D$7/$D$6)^(27*$D$6)-1)/($D$7/$D$6)))</f>
        <v>106785.138532163</v>
      </c>
      <c r="E37" s="36" t="n">
        <f aca="false">IF($E$7=0,$B$6+$E$6*27*$D$6,$B$6*(1+$E$7/$D$6)^(27*$D$6)+$E$6*(((1+$E$7/$D$6)^(27*$D$6)-1)/($E$7/$D$6)))</f>
        <v>161541.836979586</v>
      </c>
      <c r="F37" s="34" t="n">
        <f aca="false">C37-($B$6+$E$6*27*$D$6)</f>
        <v>29881.8457048779</v>
      </c>
      <c r="G37" s="35" t="n">
        <f aca="false">D37-($B$6+$E$6*27*$D$6)</f>
        <v>64385.1385321627</v>
      </c>
      <c r="H37" s="36" t="n">
        <f aca="false">E37-($B$6+$E$6*27*$D$6)</f>
        <v>119141.836979586</v>
      </c>
    </row>
    <row r="38" customFormat="false" ht="15.75" hidden="false" customHeight="true" outlineLevel="0" collapsed="false">
      <c r="B38" s="25" t="n">
        <v>28</v>
      </c>
      <c r="C38" s="34" t="n">
        <f aca="false">IF($C$7=0,$B$6+$E$6*28*$D$6,$B$6*(1+$C$7/$D$6)^(28*$D$6)+$E$6*(((1+$C$7/$D$6)^(28*$D$6)-1)/($C$7/$D$6)))</f>
        <v>75697.0054860064</v>
      </c>
      <c r="D38" s="35" t="n">
        <f aca="false">IF($D$7=0,$B$6+$E$6*28*$D$6,$B$6*(1+$D$7/$D$6)^(28*$D$6)+$E$6*(((1+$D$7/$D$6)^(28*$D$6)-1)/($D$7/$D$6)))</f>
        <v>113476.354434193</v>
      </c>
      <c r="E38" s="36" t="n">
        <f aca="false">IF($E$7=0,$B$6+$E$6*28*$D$6,$B$6*(1+$E$7/$D$6)^(28*$D$6)+$E$6*(((1+$E$7/$D$6)^(28*$D$6)-1)/($E$7/$D$6)))</f>
        <v>174458.967965469</v>
      </c>
      <c r="F38" s="34" t="n">
        <f aca="false">C38-($B$6+$E$6*28*$D$6)</f>
        <v>32097.0054860064</v>
      </c>
      <c r="G38" s="35" t="n">
        <f aca="false">D38-($B$6+$E$6*28*$D$6)</f>
        <v>69876.3544341935</v>
      </c>
      <c r="H38" s="36" t="n">
        <f aca="false">E38-($B$6+$E$6*28*$D$6)</f>
        <v>130858.967965469</v>
      </c>
    </row>
    <row r="39" customFormat="false" ht="15.75" hidden="false" customHeight="true" outlineLevel="0" collapsed="false">
      <c r="B39" s="23" t="n">
        <v>29</v>
      </c>
      <c r="C39" s="34" t="n">
        <f aca="false">IF($C$7=0,$B$6+$E$6*29*$D$6,$B$6*(1+$C$7/$D$6)^(29*$D$6)+$E$6*(((1+$C$7/$D$6)^(29*$D$6)-1)/($C$7/$D$6)))</f>
        <v>79216.0406198906</v>
      </c>
      <c r="D39" s="35" t="n">
        <f aca="false">IF($D$7=0,$B$6+$E$6*29*$D$6,$B$6*(1+$D$7/$D$6)^(29*$D$6)+$E$6*(((1+$D$7/$D$6)^(29*$D$6)-1)/($D$7/$D$6)))</f>
        <v>120509.905640909</v>
      </c>
      <c r="E39" s="36" t="n">
        <f aca="false">IF($E$7=0,$B$6+$E$6*29*$D$6,$B$6*(1+$E$7/$D$6)^(29*$D$6)+$E$6*(((1+$E$7/$D$6)^(29*$D$6)-1)/($E$7/$D$6)))</f>
        <v>188309.879394753</v>
      </c>
      <c r="F39" s="34" t="n">
        <f aca="false">C39-($B$6+$E$6*29*$D$6)</f>
        <v>34416.0406198906</v>
      </c>
      <c r="G39" s="35" t="n">
        <f aca="false">D39-($B$6+$E$6*29*$D$6)</f>
        <v>75709.9056409086</v>
      </c>
      <c r="H39" s="36" t="n">
        <f aca="false">E39-($B$6+$E$6*29*$D$6)</f>
        <v>143509.879394753</v>
      </c>
    </row>
    <row r="40" customFormat="false" ht="15.75" hidden="false" customHeight="true" outlineLevel="0" collapsed="false">
      <c r="B40" s="25" t="n">
        <v>30</v>
      </c>
      <c r="C40" s="34" t="n">
        <f aca="false">IF($C$7=0,$B$6+$E$6*30*$D$6,$B$6*(1+$C$7/$D$6)^(30*$D$6)+$E$6*(((1+$C$7/$D$6)^(30*$D$6)-1)/($C$7/$D$6)))</f>
        <v>82842.110574784</v>
      </c>
      <c r="D40" s="35" t="n">
        <f aca="false">IF($D$7=0,$B$6+$E$6*30*$D$6,$B$6*(1+$D$7/$D$6)^(30*$D$6)+$E$6*(((1+$D$7/$D$6)^(30*$D$6)-1)/($D$7/$D$6)))</f>
        <v>127903.306676208</v>
      </c>
      <c r="E40" s="36" t="n">
        <f aca="false">IF($E$7=0,$B$6+$E$6*30*$D$6,$B$6*(1+$E$7/$D$6)^(30*$D$6)+$E$6*(((1+$E$7/$D$6)^(30*$D$6)-1)/($E$7/$D$6)))</f>
        <v>203162.074331191</v>
      </c>
      <c r="F40" s="34" t="n">
        <f aca="false">C40-($B$6+$E$6*30*$D$6)</f>
        <v>36842.110574784</v>
      </c>
      <c r="G40" s="35" t="n">
        <f aca="false">D40-($B$6+$E$6*30*$D$6)</f>
        <v>81903.3066762077</v>
      </c>
      <c r="H40" s="36" t="n">
        <f aca="false">E40-($B$6+$E$6*30*$D$6)</f>
        <v>157162.074331191</v>
      </c>
    </row>
  </sheetData>
  <mergeCells count="4">
    <mergeCell ref="B1:G1"/>
    <mergeCell ref="B2:G2"/>
    <mergeCell ref="B4:G4"/>
    <mergeCell ref="B8:G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45"/>
    <col collapsed="false" customWidth="true" hidden="false" outlineLevel="0" max="4" min="4" style="0" width="3"/>
  </cols>
  <sheetData>
    <row r="1" customFormat="false" ht="33.75" hidden="false" customHeight="true" outlineLevel="0" collapsed="false">
      <c r="B1" s="19" t="s">
        <v>51</v>
      </c>
      <c r="C1" s="19"/>
    </row>
    <row r="3" customFormat="false" ht="21.75" hidden="false" customHeight="true" outlineLevel="0" collapsed="false">
      <c r="B3" s="3" t="s">
        <v>52</v>
      </c>
      <c r="C3" s="3"/>
    </row>
    <row r="4" customFormat="false" ht="18" hidden="false" customHeight="true" outlineLevel="0" collapsed="false">
      <c r="B4" s="37" t="s">
        <v>53</v>
      </c>
      <c r="C4" s="38" t="s">
        <v>54</v>
      </c>
    </row>
    <row r="5" customFormat="false" ht="18" hidden="false" customHeight="true" outlineLevel="0" collapsed="false">
      <c r="B5" s="37" t="s">
        <v>55</v>
      </c>
      <c r="C5" s="38" t="s">
        <v>56</v>
      </c>
    </row>
    <row r="6" customFormat="false" ht="18" hidden="false" customHeight="true" outlineLevel="0" collapsed="false">
      <c r="B6" s="39" t="s">
        <v>57</v>
      </c>
      <c r="C6" s="40" t="s">
        <v>58</v>
      </c>
    </row>
    <row r="7" customFormat="false" ht="18" hidden="false" customHeight="true" outlineLevel="0" collapsed="false">
      <c r="B7" s="39" t="s">
        <v>59</v>
      </c>
      <c r="C7" s="40" t="s">
        <v>60</v>
      </c>
    </row>
    <row r="8" customFormat="false" ht="18" hidden="false" customHeight="true" outlineLevel="0" collapsed="false">
      <c r="B8" s="39" t="s">
        <v>61</v>
      </c>
      <c r="C8" s="40" t="s">
        <v>62</v>
      </c>
    </row>
    <row r="9" customFormat="false" ht="18" hidden="false" customHeight="true" outlineLevel="0" collapsed="false">
      <c r="B9" s="39" t="s">
        <v>63</v>
      </c>
      <c r="C9" s="40" t="s">
        <v>64</v>
      </c>
    </row>
    <row r="10" customFormat="false" ht="18" hidden="false" customHeight="true" outlineLevel="0" collapsed="false">
      <c r="B10" s="39" t="s">
        <v>65</v>
      </c>
      <c r="C10" s="40" t="s">
        <v>66</v>
      </c>
    </row>
    <row r="12" customFormat="false" ht="21.75" hidden="false" customHeight="true" outlineLevel="0" collapsed="false">
      <c r="B12" s="3" t="s">
        <v>67</v>
      </c>
      <c r="C12" s="3"/>
    </row>
    <row r="13" customFormat="false" ht="18" hidden="false" customHeight="true" outlineLevel="0" collapsed="false">
      <c r="B13" s="37" t="s">
        <v>53</v>
      </c>
      <c r="C13" s="38" t="s">
        <v>68</v>
      </c>
    </row>
    <row r="14" customFormat="false" ht="18" hidden="false" customHeight="true" outlineLevel="0" collapsed="false">
      <c r="B14" s="37" t="s">
        <v>55</v>
      </c>
      <c r="C14" s="38" t="s">
        <v>69</v>
      </c>
    </row>
    <row r="15" customFormat="false" ht="18" hidden="false" customHeight="true" outlineLevel="0" collapsed="false">
      <c r="B15" s="39" t="s">
        <v>70</v>
      </c>
      <c r="C15" s="40" t="s">
        <v>71</v>
      </c>
    </row>
    <row r="16" customFormat="false" ht="18" hidden="false" customHeight="true" outlineLevel="0" collapsed="false">
      <c r="B16" s="39" t="s">
        <v>72</v>
      </c>
      <c r="C16" s="40" t="s">
        <v>73</v>
      </c>
    </row>
    <row r="18" customFormat="false" ht="21.75" hidden="false" customHeight="true" outlineLevel="0" collapsed="false">
      <c r="B18" s="3" t="s">
        <v>74</v>
      </c>
      <c r="C18" s="3"/>
    </row>
    <row r="19" customFormat="false" ht="18" hidden="false" customHeight="true" outlineLevel="0" collapsed="false">
      <c r="B19" s="37" t="s">
        <v>75</v>
      </c>
      <c r="C19" s="38" t="s">
        <v>76</v>
      </c>
    </row>
    <row r="20" customFormat="false" ht="18" hidden="false" customHeight="true" outlineLevel="0" collapsed="false">
      <c r="B20" s="39" t="s">
        <v>77</v>
      </c>
      <c r="C20" s="40" t="s">
        <v>78</v>
      </c>
    </row>
    <row r="21" customFormat="false" ht="18" hidden="false" customHeight="true" outlineLevel="0" collapsed="false">
      <c r="B21" s="39" t="s">
        <v>79</v>
      </c>
      <c r="C21" s="40" t="s">
        <v>80</v>
      </c>
    </row>
    <row r="22" customFormat="false" ht="18" hidden="false" customHeight="true" outlineLevel="0" collapsed="false">
      <c r="B22" s="39" t="s">
        <v>81</v>
      </c>
      <c r="C22" s="40" t="s">
        <v>82</v>
      </c>
    </row>
    <row r="23" customFormat="false" ht="18" hidden="false" customHeight="true" outlineLevel="0" collapsed="false">
      <c r="B23" s="39" t="s">
        <v>83</v>
      </c>
      <c r="C23" s="40" t="s">
        <v>84</v>
      </c>
    </row>
    <row r="24" customFormat="false" ht="18" hidden="false" customHeight="true" outlineLevel="0" collapsed="false">
      <c r="B24" s="39" t="s">
        <v>85</v>
      </c>
      <c r="C24" s="40" t="s">
        <v>86</v>
      </c>
    </row>
    <row r="26" customFormat="false" ht="21.75" hidden="false" customHeight="true" outlineLevel="0" collapsed="false">
      <c r="B26" s="3" t="s">
        <v>87</v>
      </c>
      <c r="C26" s="3"/>
    </row>
    <row r="27" customFormat="false" ht="18" hidden="false" customHeight="true" outlineLevel="0" collapsed="false">
      <c r="B27" s="6" t="s">
        <v>88</v>
      </c>
      <c r="C27" s="41" t="s">
        <v>89</v>
      </c>
    </row>
    <row r="28" customFormat="false" ht="18" hidden="false" customHeight="true" outlineLevel="0" collapsed="false">
      <c r="B28" s="6" t="s">
        <v>88</v>
      </c>
      <c r="C28" s="41" t="s">
        <v>90</v>
      </c>
    </row>
    <row r="29" customFormat="false" ht="18" hidden="false" customHeight="true" outlineLevel="0" collapsed="false">
      <c r="B29" s="6" t="s">
        <v>88</v>
      </c>
      <c r="C29" s="41" t="s">
        <v>91</v>
      </c>
    </row>
    <row r="30" customFormat="false" ht="18" hidden="false" customHeight="true" outlineLevel="0" collapsed="false">
      <c r="B30" s="6" t="s">
        <v>88</v>
      </c>
      <c r="C30" s="41" t="s">
        <v>92</v>
      </c>
    </row>
    <row r="31" customFormat="false" ht="18" hidden="false" customHeight="true" outlineLevel="0" collapsed="false">
      <c r="B31" s="6" t="s">
        <v>88</v>
      </c>
      <c r="C31" s="41" t="s">
        <v>93</v>
      </c>
    </row>
    <row r="33" customFormat="false" ht="21.75" hidden="false" customHeight="true" outlineLevel="0" collapsed="false">
      <c r="B33" s="3" t="s">
        <v>94</v>
      </c>
      <c r="C33" s="3"/>
    </row>
    <row r="34" customFormat="false" ht="18" hidden="false" customHeight="true" outlineLevel="0" collapsed="false">
      <c r="B34" s="39" t="s">
        <v>94</v>
      </c>
      <c r="C34" s="40" t="s">
        <v>95</v>
      </c>
    </row>
    <row r="35" customFormat="false" ht="18" hidden="false" customHeight="true" outlineLevel="0" collapsed="false">
      <c r="B35" s="39" t="s">
        <v>94</v>
      </c>
      <c r="C35" s="40" t="s">
        <v>96</v>
      </c>
    </row>
    <row r="36" customFormat="false" ht="18" hidden="false" customHeight="true" outlineLevel="0" collapsed="false">
      <c r="B36" s="39" t="s">
        <v>94</v>
      </c>
      <c r="C36" s="40" t="s">
        <v>97</v>
      </c>
    </row>
  </sheetData>
  <mergeCells count="6">
    <mergeCell ref="B1:C1"/>
    <mergeCell ref="B3:C3"/>
    <mergeCell ref="B12:C12"/>
    <mergeCell ref="B18:C18"/>
    <mergeCell ref="B26:C26"/>
    <mergeCell ref="B33:C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2026-04-15T07:18:34Z</dcterms:created>
  <dc:creator>openpyxl</dc:creator>
  <dc:description/>
  <dc:language>en-US</dc:language>
  <cp:lastModifiedBy/>
  <dcterms:modified xsi:type="dcterms:W3CDTF">2026-04-15T07:18:37Z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